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on-fs02\profiles\nhogg\desktop\"/>
    </mc:Choice>
  </mc:AlternateContent>
  <bookViews>
    <workbookView xWindow="0" yWindow="0" windowWidth="28800" windowHeight="103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5" i="1" l="1"/>
  <c r="K105" i="1"/>
  <c r="J105" i="1"/>
  <c r="I105" i="1"/>
  <c r="H105" i="1"/>
  <c r="G105" i="1"/>
  <c r="F105" i="1"/>
  <c r="E105" i="1"/>
  <c r="L104" i="1"/>
  <c r="L103" i="1"/>
  <c r="L102" i="1"/>
  <c r="L101" i="1"/>
  <c r="L100" i="1"/>
  <c r="L99" i="1"/>
  <c r="L98" i="1"/>
  <c r="L105" i="1" s="1"/>
  <c r="M90" i="1"/>
  <c r="K90" i="1"/>
  <c r="J90" i="1"/>
  <c r="I90" i="1"/>
  <c r="H90" i="1"/>
  <c r="G90" i="1"/>
  <c r="F90" i="1"/>
  <c r="E90" i="1"/>
  <c r="L89" i="1"/>
  <c r="L88" i="1"/>
  <c r="L87" i="1"/>
  <c r="L86" i="1"/>
  <c r="L85" i="1"/>
  <c r="L84" i="1"/>
  <c r="L83" i="1"/>
  <c r="L82" i="1"/>
  <c r="L81" i="1"/>
  <c r="L90" i="1" s="1"/>
  <c r="M73" i="1"/>
  <c r="K73" i="1"/>
  <c r="J73" i="1"/>
  <c r="I73" i="1"/>
  <c r="H73" i="1"/>
  <c r="G73" i="1"/>
  <c r="F73" i="1"/>
  <c r="E73" i="1"/>
  <c r="L72" i="1"/>
  <c r="L71" i="1"/>
  <c r="L70" i="1"/>
  <c r="L69" i="1"/>
  <c r="L68" i="1"/>
  <c r="L67" i="1"/>
  <c r="L66" i="1"/>
  <c r="L73" i="1" s="1"/>
  <c r="M58" i="1"/>
  <c r="K58" i="1"/>
  <c r="J58" i="1"/>
  <c r="I58" i="1"/>
  <c r="H58" i="1"/>
  <c r="G58" i="1"/>
  <c r="F58" i="1"/>
  <c r="E58" i="1"/>
  <c r="L57" i="1"/>
  <c r="L56" i="1"/>
  <c r="G56" i="1"/>
  <c r="L55" i="1"/>
  <c r="L54" i="1"/>
  <c r="L53" i="1"/>
  <c r="L52" i="1"/>
  <c r="L51" i="1"/>
  <c r="L50" i="1"/>
  <c r="L58" i="1" s="1"/>
  <c r="N42" i="1"/>
  <c r="L42" i="1"/>
  <c r="I42" i="1"/>
  <c r="H42" i="1"/>
  <c r="F42" i="1"/>
  <c r="K41" i="1"/>
  <c r="J41" i="1"/>
  <c r="G41" i="1"/>
  <c r="M41" i="1" s="1"/>
  <c r="M40" i="1"/>
  <c r="J40" i="1"/>
  <c r="G40" i="1"/>
  <c r="M39" i="1"/>
  <c r="J39" i="1"/>
  <c r="G39" i="1"/>
  <c r="J38" i="1"/>
  <c r="G38" i="1"/>
  <c r="M38" i="1" s="1"/>
  <c r="J37" i="1"/>
  <c r="G37" i="1"/>
  <c r="M37" i="1" s="1"/>
  <c r="M36" i="1"/>
  <c r="J36" i="1"/>
  <c r="G36" i="1"/>
  <c r="M35" i="1"/>
  <c r="G35" i="1"/>
  <c r="K34" i="1"/>
  <c r="J34" i="1"/>
  <c r="J42" i="1" s="1"/>
  <c r="G34" i="1"/>
  <c r="M34" i="1" s="1"/>
  <c r="J33" i="1"/>
  <c r="G33" i="1"/>
  <c r="M33" i="1" s="1"/>
  <c r="M32" i="1"/>
  <c r="J32" i="1"/>
  <c r="G32" i="1"/>
  <c r="M31" i="1"/>
  <c r="K31" i="1"/>
  <c r="K42" i="1" s="1"/>
  <c r="J31" i="1"/>
  <c r="G31" i="1"/>
  <c r="M30" i="1"/>
  <c r="J30" i="1"/>
  <c r="G30" i="1"/>
  <c r="G42" i="1" s="1"/>
  <c r="M22" i="1"/>
  <c r="L22" i="1"/>
  <c r="H22" i="1"/>
  <c r="G22" i="1"/>
  <c r="M17" i="1"/>
  <c r="M108" i="1" s="1"/>
  <c r="K17" i="1"/>
  <c r="J17" i="1"/>
  <c r="H17" i="1"/>
  <c r="G17" i="1"/>
  <c r="E17" i="1"/>
  <c r="L16" i="1"/>
  <c r="I16" i="1"/>
  <c r="F16" i="1"/>
  <c r="I15" i="1"/>
  <c r="F15" i="1"/>
  <c r="L15" i="1" s="1"/>
  <c r="I14" i="1"/>
  <c r="F14" i="1"/>
  <c r="L14" i="1" s="1"/>
  <c r="L13" i="1"/>
  <c r="F13" i="1"/>
  <c r="L12" i="1"/>
  <c r="L11" i="1"/>
  <c r="L10" i="1"/>
  <c r="L9" i="1"/>
  <c r="I9" i="1"/>
  <c r="I17" i="1" s="1"/>
  <c r="L8" i="1"/>
  <c r="F8" i="1"/>
  <c r="L7" i="1"/>
  <c r="L6" i="1"/>
  <c r="L5" i="1"/>
  <c r="F5" i="1"/>
  <c r="F17" i="1" s="1"/>
  <c r="M42" i="1" l="1"/>
  <c r="L17" i="1"/>
  <c r="L108" i="1" s="1"/>
  <c r="M109" i="1" s="1"/>
</calcChain>
</file>

<file path=xl/sharedStrings.xml><?xml version="1.0" encoding="utf-8"?>
<sst xmlns="http://schemas.openxmlformats.org/spreadsheetml/2006/main" count="305" uniqueCount="121">
  <si>
    <t>UK Board</t>
  </si>
  <si>
    <t>Name</t>
  </si>
  <si>
    <t>Role</t>
  </si>
  <si>
    <t>Start Date</t>
  </si>
  <si>
    <t>Leave Date</t>
  </si>
  <si>
    <t>Air travel</t>
  </si>
  <si>
    <t>Accommodation</t>
  </si>
  <si>
    <t>Rail &amp; tube travel</t>
  </si>
  <si>
    <t>Road travel</t>
  </si>
  <si>
    <t>Subsistence</t>
  </si>
  <si>
    <t>Sundry</t>
  </si>
  <si>
    <t>Hospitality</t>
  </si>
  <si>
    <t>Total 2016/17</t>
  </si>
  <si>
    <t>Total 2015/16</t>
  </si>
  <si>
    <t>(Where part year)</t>
  </si>
  <si>
    <t>£</t>
  </si>
  <si>
    <t>Peter Ainsworth</t>
  </si>
  <si>
    <t>Chair</t>
  </si>
  <si>
    <t>Astrid Bonfield CBE</t>
  </si>
  <si>
    <t>Committee Member</t>
  </si>
  <si>
    <t>Tony Burton CBE</t>
  </si>
  <si>
    <t>Natalie Campbell</t>
  </si>
  <si>
    <t>Perdita Fraser</t>
  </si>
  <si>
    <t>David Isaac CBE</t>
  </si>
  <si>
    <t>Elizabeth Passey</t>
  </si>
  <si>
    <t>Racheal Robathan</t>
  </si>
  <si>
    <t>Nat Sloane CBE</t>
  </si>
  <si>
    <t>Chair (England)</t>
  </si>
  <si>
    <t>Sir Adrian Webb</t>
  </si>
  <si>
    <t>Chair (Wales)</t>
  </si>
  <si>
    <t>Maureen McGinn</t>
  </si>
  <si>
    <t>Chair (Scotland)</t>
  </si>
  <si>
    <t>Frank Hewitt CBE</t>
  </si>
  <si>
    <t>Chair (Northern Ireland)</t>
  </si>
  <si>
    <t>30.11.2016</t>
  </si>
  <si>
    <t>Total</t>
  </si>
  <si>
    <t>Audit Committee</t>
  </si>
  <si>
    <t>Linda Farrant</t>
  </si>
  <si>
    <t>-</t>
  </si>
  <si>
    <t>Directors</t>
  </si>
  <si>
    <t xml:space="preserve">Main Office </t>
  </si>
  <si>
    <t>Sundry &amp; professional fees</t>
  </si>
  <si>
    <t>Address</t>
  </si>
  <si>
    <t>Dawn Austwick</t>
  </si>
  <si>
    <t>Chief Executive</t>
  </si>
  <si>
    <t>London</t>
  </si>
  <si>
    <t>Gemma Bull</t>
  </si>
  <si>
    <t>Director, England Portfolio Development</t>
  </si>
  <si>
    <t>Martin Cawley</t>
  </si>
  <si>
    <t>Director, Scotland</t>
  </si>
  <si>
    <t>Glasgow</t>
  </si>
  <si>
    <t>01.09.2016</t>
  </si>
  <si>
    <t>Lyn Cole</t>
  </si>
  <si>
    <t>Director, England Grant Making</t>
  </si>
  <si>
    <t>28.02.2017</t>
  </si>
  <si>
    <t>Joe Ferns</t>
  </si>
  <si>
    <t>Director, UK Knowledge and Portfolio</t>
  </si>
  <si>
    <t>01.04.2016</t>
  </si>
  <si>
    <t>James Harcourt</t>
  </si>
  <si>
    <t>Birmingham</t>
  </si>
  <si>
    <t>01.03.2017</t>
  </si>
  <si>
    <t>Ben Harrison</t>
  </si>
  <si>
    <t>Director, Engagement</t>
  </si>
  <si>
    <t>14.11.2016</t>
  </si>
  <si>
    <t>Danny Homan</t>
  </si>
  <si>
    <t>Chief of Staff</t>
  </si>
  <si>
    <t>Ian Hughes</t>
  </si>
  <si>
    <t>Director, Finance</t>
  </si>
  <si>
    <t>Jacqueline Killeen</t>
  </si>
  <si>
    <t>29..04.2016</t>
  </si>
  <si>
    <t>Joanne McDowell</t>
  </si>
  <si>
    <t>Director, Northern Ireland</t>
  </si>
  <si>
    <t>Belfast</t>
  </si>
  <si>
    <t>John Rose</t>
  </si>
  <si>
    <t>Director, Wales</t>
  </si>
  <si>
    <t>Cardiff</t>
  </si>
  <si>
    <t>England Committee expenses</t>
  </si>
  <si>
    <t>Geeta Gopalan</t>
  </si>
  <si>
    <t>Scott Greenhalgh</t>
  </si>
  <si>
    <t>31.12.2016</t>
  </si>
  <si>
    <t>Charlie Howard</t>
  </si>
  <si>
    <t>Margaret Jones</t>
  </si>
  <si>
    <t>01.02.2016</t>
  </si>
  <si>
    <t>Tarn Lamb</t>
  </si>
  <si>
    <t>Steve Richards</t>
  </si>
  <si>
    <t>30.06.2015</t>
  </si>
  <si>
    <t>Jane Robinson</t>
  </si>
  <si>
    <t>Nalini Varma</t>
  </si>
  <si>
    <t>30.09.2015</t>
  </si>
  <si>
    <t>Wales Committee expenses</t>
  </si>
  <si>
    <t>Rona Aldrich</t>
  </si>
  <si>
    <t>Sian Callaghan</t>
  </si>
  <si>
    <t>Simon Jones</t>
  </si>
  <si>
    <t>Rob Pickford OBE</t>
  </si>
  <si>
    <t>Gaynor Richards</t>
  </si>
  <si>
    <t>Rita Singh</t>
  </si>
  <si>
    <t>Fran Targett OBE</t>
  </si>
  <si>
    <t>31.05.2015</t>
  </si>
  <si>
    <t>Scotland Committee expenses</t>
  </si>
  <si>
    <t>Elizabeth Cameron</t>
  </si>
  <si>
    <t>Grant Carson</t>
  </si>
  <si>
    <t>01.01.2016</t>
  </si>
  <si>
    <t>Stella Everingham</t>
  </si>
  <si>
    <t>Iain Gordon</t>
  </si>
  <si>
    <t>John Mcdonald</t>
  </si>
  <si>
    <t>31.01.2016</t>
  </si>
  <si>
    <t>Alan McGregor</t>
  </si>
  <si>
    <t>Shalani Raghavan</t>
  </si>
  <si>
    <t>Deidre Robertson</t>
  </si>
  <si>
    <t>John Watt</t>
  </si>
  <si>
    <t>Northern Ireland Committee expenses</t>
  </si>
  <si>
    <t>Julie Harrison</t>
  </si>
  <si>
    <t>01.01.2017</t>
  </si>
  <si>
    <t>Geraldine Campbell</t>
  </si>
  <si>
    <t>31.10.2015</t>
  </si>
  <si>
    <t>Dr. Michael Dobbins</t>
  </si>
  <si>
    <t>Tony Doherty</t>
  </si>
  <si>
    <t>Charles Mack</t>
  </si>
  <si>
    <t>01.11.2015</t>
  </si>
  <si>
    <t>Sandra MacNamee</t>
  </si>
  <si>
    <t>Eileen Mullan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</si>
</sst>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/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" fontId="0" fillId="0" borderId="2" xfId="0" applyNumberFormat="1" applyFill="1" applyBorder="1"/>
    <xf numFmtId="43" fontId="0" fillId="0" borderId="2" xfId="0" applyNumberFormat="1" applyFill="1" applyBorder="1"/>
    <xf numFmtId="4" fontId="0" fillId="2" borderId="2" xfId="0" applyNumberFormat="1" applyFill="1" applyBorder="1"/>
    <xf numFmtId="4" fontId="0" fillId="0" borderId="2" xfId="0" applyNumberFormat="1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horizontal="right"/>
    </xf>
    <xf numFmtId="4" fontId="0" fillId="2" borderId="1" xfId="0" applyNumberFormat="1" applyFill="1" applyBorder="1"/>
    <xf numFmtId="0" fontId="1" fillId="2" borderId="2" xfId="0" applyFont="1" applyFill="1" applyBorder="1"/>
    <xf numFmtId="4" fontId="1" fillId="2" borderId="2" xfId="0" applyNumberFormat="1" applyFont="1" applyFill="1" applyBorder="1"/>
    <xf numFmtId="0" fontId="2" fillId="0" borderId="0" xfId="0" applyFont="1"/>
    <xf numFmtId="4" fontId="0" fillId="0" borderId="0" xfId="0" applyNumberFormat="1"/>
    <xf numFmtId="4" fontId="0" fillId="0" borderId="0" xfId="0" applyNumberFormat="1" applyFill="1"/>
    <xf numFmtId="4" fontId="1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3" fillId="0" borderId="0" xfId="0" applyFont="1" applyFill="1" applyAlignment="1">
      <alignment vertical="top"/>
    </xf>
    <xf numFmtId="164" fontId="0" fillId="0" borderId="0" xfId="0" applyNumberFormat="1" applyFill="1"/>
    <xf numFmtId="0" fontId="1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tabSelected="1" workbookViewId="0">
      <selection activeCell="C15" sqref="C15"/>
    </sheetView>
  </sheetViews>
  <sheetFormatPr defaultRowHeight="15" x14ac:dyDescent="0.25"/>
  <cols>
    <col min="1" max="1" width="22.7109375" customWidth="1"/>
    <col min="2" max="2" width="26.42578125" customWidth="1"/>
    <col min="3" max="3" width="13.5703125" bestFit="1" customWidth="1"/>
    <col min="4" max="4" width="11.28515625" bestFit="1" customWidth="1"/>
    <col min="5" max="5" width="11.28515625" style="26" bestFit="1" customWidth="1"/>
    <col min="6" max="6" width="15.7109375" style="26" bestFit="1" customWidth="1"/>
    <col min="7" max="7" width="17" style="26" customWidth="1"/>
    <col min="8" max="8" width="17" style="26" bestFit="1" customWidth="1"/>
    <col min="9" max="9" width="11.5703125" style="26" bestFit="1" customWidth="1"/>
    <col min="10" max="10" width="11.5703125" style="27" bestFit="1" customWidth="1"/>
    <col min="11" max="11" width="16.7109375" style="27" customWidth="1"/>
    <col min="12" max="12" width="13.5703125" style="27" bestFit="1" customWidth="1"/>
    <col min="13" max="14" width="13.5703125" style="6" bestFit="1" customWidth="1"/>
    <col min="15" max="15" width="9.140625" style="6"/>
  </cols>
  <sheetData>
    <row r="1" spans="1:13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4"/>
      <c r="K1" s="4"/>
      <c r="L1" s="4"/>
      <c r="M1" s="5"/>
    </row>
    <row r="3" spans="1:13" x14ac:dyDescent="0.25">
      <c r="A3" s="7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9" t="s">
        <v>13</v>
      </c>
    </row>
    <row r="4" spans="1:13" x14ac:dyDescent="0.25">
      <c r="A4" s="11"/>
      <c r="B4" s="11"/>
      <c r="C4" s="41" t="s">
        <v>14</v>
      </c>
      <c r="D4" s="42"/>
      <c r="E4" s="10" t="s">
        <v>15</v>
      </c>
      <c r="F4" s="10" t="s">
        <v>15</v>
      </c>
      <c r="G4" s="10" t="s">
        <v>15</v>
      </c>
      <c r="H4" s="10" t="s">
        <v>15</v>
      </c>
      <c r="I4" s="10" t="s">
        <v>15</v>
      </c>
      <c r="J4" s="10" t="s">
        <v>15</v>
      </c>
      <c r="K4" s="10" t="s">
        <v>15</v>
      </c>
      <c r="L4" s="10" t="s">
        <v>15</v>
      </c>
      <c r="M4" s="9" t="s">
        <v>15</v>
      </c>
    </row>
    <row r="5" spans="1:13" x14ac:dyDescent="0.25">
      <c r="A5" s="12" t="s">
        <v>16</v>
      </c>
      <c r="B5" s="13" t="s">
        <v>17</v>
      </c>
      <c r="C5" s="13"/>
      <c r="D5" s="13"/>
      <c r="E5" s="14">
        <v>450.95000000000005</v>
      </c>
      <c r="F5" s="14">
        <f>0.6 + 150</f>
        <v>150.6</v>
      </c>
      <c r="G5" s="14">
        <v>676.99999999999989</v>
      </c>
      <c r="H5" s="15">
        <v>0</v>
      </c>
      <c r="I5" s="14">
        <v>11</v>
      </c>
      <c r="J5" s="15">
        <v>0</v>
      </c>
      <c r="K5" s="14">
        <v>4.28</v>
      </c>
      <c r="L5" s="16">
        <f>SUM(E5:K5)</f>
        <v>1293.83</v>
      </c>
      <c r="M5" s="14">
        <v>1447.1699999999996</v>
      </c>
    </row>
    <row r="6" spans="1:13" x14ac:dyDescent="0.25">
      <c r="A6" s="12" t="s">
        <v>18</v>
      </c>
      <c r="B6" s="13" t="s">
        <v>19</v>
      </c>
      <c r="C6" s="13"/>
      <c r="D6" s="13"/>
      <c r="E6" s="15">
        <v>0</v>
      </c>
      <c r="F6" s="17">
        <v>150</v>
      </c>
      <c r="G6" s="14">
        <v>160.80000000000001</v>
      </c>
      <c r="H6" s="15">
        <v>0</v>
      </c>
      <c r="I6" s="17">
        <v>11</v>
      </c>
      <c r="J6" s="15">
        <v>0</v>
      </c>
      <c r="K6" s="14">
        <v>4.28</v>
      </c>
      <c r="L6" s="16">
        <f>SUM(E6:K6)</f>
        <v>326.08</v>
      </c>
      <c r="M6" s="14">
        <v>97.740000000000009</v>
      </c>
    </row>
    <row r="7" spans="1:13" x14ac:dyDescent="0.25">
      <c r="A7" s="12" t="s">
        <v>20</v>
      </c>
      <c r="B7" s="13" t="s">
        <v>19</v>
      </c>
      <c r="C7" s="13"/>
      <c r="D7" s="13"/>
      <c r="E7" s="15">
        <v>0</v>
      </c>
      <c r="F7" s="17">
        <v>150</v>
      </c>
      <c r="G7" s="14">
        <v>487.55</v>
      </c>
      <c r="H7" s="15">
        <v>0</v>
      </c>
      <c r="I7" s="14">
        <v>11</v>
      </c>
      <c r="J7" s="15">
        <v>0</v>
      </c>
      <c r="K7" s="14">
        <v>4.28</v>
      </c>
      <c r="L7" s="16">
        <f t="shared" ref="L7:L12" si="0">SUM(E7:K7)</f>
        <v>652.82999999999993</v>
      </c>
      <c r="M7" s="14">
        <v>361.28999999999996</v>
      </c>
    </row>
    <row r="8" spans="1:13" x14ac:dyDescent="0.25">
      <c r="A8" s="12" t="s">
        <v>21</v>
      </c>
      <c r="B8" s="13" t="s">
        <v>19</v>
      </c>
      <c r="C8" s="13"/>
      <c r="D8" s="13"/>
      <c r="E8" s="14">
        <v>148.63999999999999</v>
      </c>
      <c r="F8" s="14">
        <f>76.2 + 150</f>
        <v>226.2</v>
      </c>
      <c r="G8" s="14">
        <v>162.4</v>
      </c>
      <c r="H8" s="15">
        <v>0</v>
      </c>
      <c r="I8" s="14">
        <v>11</v>
      </c>
      <c r="J8" s="15">
        <v>0</v>
      </c>
      <c r="K8" s="17">
        <v>4.28</v>
      </c>
      <c r="L8" s="16">
        <f t="shared" si="0"/>
        <v>552.52</v>
      </c>
      <c r="M8" s="17">
        <v>318.61</v>
      </c>
    </row>
    <row r="9" spans="1:13" x14ac:dyDescent="0.25">
      <c r="A9" s="18" t="s">
        <v>22</v>
      </c>
      <c r="B9" s="19" t="s">
        <v>19</v>
      </c>
      <c r="C9" s="19"/>
      <c r="D9" s="19"/>
      <c r="E9" s="15">
        <v>0</v>
      </c>
      <c r="F9" s="20">
        <v>150</v>
      </c>
      <c r="G9" s="20">
        <v>275.95</v>
      </c>
      <c r="H9" s="15">
        <v>0</v>
      </c>
      <c r="I9" s="21">
        <f>25 + 11</f>
        <v>36</v>
      </c>
      <c r="J9" s="15">
        <v>0</v>
      </c>
      <c r="K9" s="20">
        <v>4.28</v>
      </c>
      <c r="L9" s="22">
        <f t="shared" si="0"/>
        <v>466.22999999999996</v>
      </c>
      <c r="M9" s="20">
        <v>485.61</v>
      </c>
    </row>
    <row r="10" spans="1:13" x14ac:dyDescent="0.25">
      <c r="A10" s="18" t="s">
        <v>23</v>
      </c>
      <c r="B10" s="19" t="s">
        <v>19</v>
      </c>
      <c r="C10" s="19"/>
      <c r="D10" s="19"/>
      <c r="E10" s="15">
        <v>0</v>
      </c>
      <c r="F10" s="20">
        <v>150</v>
      </c>
      <c r="G10" s="20">
        <v>160.80000000000001</v>
      </c>
      <c r="H10" s="15">
        <v>0</v>
      </c>
      <c r="I10" s="21">
        <v>11</v>
      </c>
      <c r="J10" s="15">
        <v>0</v>
      </c>
      <c r="K10" s="20">
        <v>10.11</v>
      </c>
      <c r="L10" s="22">
        <f t="shared" si="0"/>
        <v>331.91</v>
      </c>
      <c r="M10" s="20">
        <v>254.92</v>
      </c>
    </row>
    <row r="11" spans="1:13" x14ac:dyDescent="0.25">
      <c r="A11" s="18" t="s">
        <v>24</v>
      </c>
      <c r="B11" s="19" t="s">
        <v>19</v>
      </c>
      <c r="C11" s="19"/>
      <c r="D11" s="19"/>
      <c r="E11" s="15">
        <v>0</v>
      </c>
      <c r="F11" s="20">
        <v>150</v>
      </c>
      <c r="G11" s="20">
        <v>121.00000000000001</v>
      </c>
      <c r="H11" s="20">
        <v>324.72999999999996</v>
      </c>
      <c r="I11" s="21">
        <v>11</v>
      </c>
      <c r="J11" s="15">
        <v>0</v>
      </c>
      <c r="K11" s="20">
        <v>4.28</v>
      </c>
      <c r="L11" s="22">
        <f t="shared" si="0"/>
        <v>611.01</v>
      </c>
      <c r="M11" s="20">
        <v>298.28999999999996</v>
      </c>
    </row>
    <row r="12" spans="1:13" x14ac:dyDescent="0.25">
      <c r="A12" s="12" t="s">
        <v>25</v>
      </c>
      <c r="B12" s="13" t="s">
        <v>19</v>
      </c>
      <c r="C12" s="13"/>
      <c r="D12" s="13"/>
      <c r="E12" s="15">
        <v>0</v>
      </c>
      <c r="F12" s="14">
        <v>150</v>
      </c>
      <c r="G12" s="17">
        <v>189.4</v>
      </c>
      <c r="H12" s="15">
        <v>0</v>
      </c>
      <c r="I12" s="17">
        <v>11</v>
      </c>
      <c r="J12" s="15">
        <v>0</v>
      </c>
      <c r="K12" s="15">
        <v>0</v>
      </c>
      <c r="L12" s="16">
        <f t="shared" si="0"/>
        <v>350.4</v>
      </c>
      <c r="M12" s="17">
        <v>338.86</v>
      </c>
    </row>
    <row r="13" spans="1:13" s="6" customFormat="1" x14ac:dyDescent="0.25">
      <c r="A13" s="12" t="s">
        <v>26</v>
      </c>
      <c r="B13" s="13" t="s">
        <v>27</v>
      </c>
      <c r="C13" s="13"/>
      <c r="D13" s="13"/>
      <c r="E13" s="15">
        <v>0</v>
      </c>
      <c r="F13" s="14">
        <f>274.14 + 150</f>
        <v>424.14</v>
      </c>
      <c r="G13" s="14">
        <v>1154.8000000000002</v>
      </c>
      <c r="H13" s="14">
        <v>129</v>
      </c>
      <c r="I13" s="14">
        <v>11</v>
      </c>
      <c r="J13" s="15">
        <v>0</v>
      </c>
      <c r="K13" s="14">
        <v>87.37</v>
      </c>
      <c r="L13" s="16">
        <f>SUM(E13:K13)</f>
        <v>1806.31</v>
      </c>
      <c r="M13" s="14">
        <v>1899.2900000000002</v>
      </c>
    </row>
    <row r="14" spans="1:13" s="6" customFormat="1" x14ac:dyDescent="0.25">
      <c r="A14" s="12" t="s">
        <v>28</v>
      </c>
      <c r="B14" s="13" t="s">
        <v>29</v>
      </c>
      <c r="C14" s="13"/>
      <c r="D14" s="13"/>
      <c r="E14" s="15">
        <v>0</v>
      </c>
      <c r="F14" s="14">
        <f>516.21 + 150</f>
        <v>666.21</v>
      </c>
      <c r="G14" s="14">
        <v>822</v>
      </c>
      <c r="H14" s="14">
        <v>823.89999999999964</v>
      </c>
      <c r="I14" s="14">
        <f>73.72 + 11</f>
        <v>84.72</v>
      </c>
      <c r="J14" s="15">
        <v>0</v>
      </c>
      <c r="K14" s="14">
        <v>106.28</v>
      </c>
      <c r="L14" s="16">
        <f>SUM(E14:K14)</f>
        <v>2503.1099999999997</v>
      </c>
      <c r="M14" s="14">
        <v>2230.7399999999998</v>
      </c>
    </row>
    <row r="15" spans="1:13" s="6" customFormat="1" x14ac:dyDescent="0.25">
      <c r="A15" s="12" t="s">
        <v>30</v>
      </c>
      <c r="B15" s="13" t="s">
        <v>31</v>
      </c>
      <c r="C15" s="13"/>
      <c r="D15" s="13"/>
      <c r="E15" s="15">
        <v>0</v>
      </c>
      <c r="F15" s="14">
        <f>721.81 + 150</f>
        <v>871.81</v>
      </c>
      <c r="G15" s="14">
        <v>3669.6799999999994</v>
      </c>
      <c r="H15" s="14">
        <v>345.12</v>
      </c>
      <c r="I15" s="17">
        <f>50.35 + 11</f>
        <v>61.35</v>
      </c>
      <c r="J15" s="15">
        <v>0</v>
      </c>
      <c r="K15" s="14">
        <v>22.11</v>
      </c>
      <c r="L15" s="16">
        <f>SUM(E15:K15)</f>
        <v>4970.07</v>
      </c>
      <c r="M15" s="14">
        <v>3457.0499999999997</v>
      </c>
    </row>
    <row r="16" spans="1:13" s="6" customFormat="1" x14ac:dyDescent="0.25">
      <c r="A16" s="12" t="s">
        <v>32</v>
      </c>
      <c r="B16" s="13" t="s">
        <v>33</v>
      </c>
      <c r="C16" s="13"/>
      <c r="D16" s="13" t="s">
        <v>34</v>
      </c>
      <c r="E16" s="14">
        <v>381.7</v>
      </c>
      <c r="F16" s="14">
        <f>316.88 + 150</f>
        <v>466.88</v>
      </c>
      <c r="G16" s="14">
        <v>68.8</v>
      </c>
      <c r="H16" s="14">
        <v>248.26</v>
      </c>
      <c r="I16" s="17">
        <f>17.75 + 11</f>
        <v>28.75</v>
      </c>
      <c r="J16" s="15">
        <v>0</v>
      </c>
      <c r="K16" s="14">
        <v>10.02</v>
      </c>
      <c r="L16" s="16">
        <f>SUM(E16:K16)</f>
        <v>1204.4099999999999</v>
      </c>
      <c r="M16" s="14">
        <v>1990.4299999999996</v>
      </c>
    </row>
    <row r="17" spans="1:14" x14ac:dyDescent="0.25">
      <c r="A17" s="23" t="s">
        <v>35</v>
      </c>
      <c r="B17" s="23"/>
      <c r="C17" s="23"/>
      <c r="D17" s="23"/>
      <c r="E17" s="24">
        <f>SUM(E5:E16)</f>
        <v>981.29</v>
      </c>
      <c r="F17" s="24">
        <f t="shared" ref="F17:M17" si="1">SUM(F5:F16)</f>
        <v>3705.84</v>
      </c>
      <c r="G17" s="24">
        <f t="shared" si="1"/>
        <v>7950.18</v>
      </c>
      <c r="H17" s="24">
        <f t="shared" si="1"/>
        <v>1871.0099999999995</v>
      </c>
      <c r="I17" s="24">
        <f t="shared" si="1"/>
        <v>298.82</v>
      </c>
      <c r="J17" s="24">
        <f t="shared" si="1"/>
        <v>0</v>
      </c>
      <c r="K17" s="24">
        <f t="shared" si="1"/>
        <v>261.57</v>
      </c>
      <c r="L17" s="24">
        <f t="shared" si="1"/>
        <v>15068.71</v>
      </c>
      <c r="M17" s="24">
        <f t="shared" si="1"/>
        <v>13180</v>
      </c>
    </row>
    <row r="19" spans="1:14" x14ac:dyDescent="0.25">
      <c r="A19" s="25" t="s">
        <v>36</v>
      </c>
    </row>
    <row r="21" spans="1:14" x14ac:dyDescent="0.25">
      <c r="A21" s="18" t="s">
        <v>37</v>
      </c>
      <c r="B21" s="19" t="s">
        <v>19</v>
      </c>
      <c r="C21" s="19"/>
      <c r="D21" s="19"/>
      <c r="E21" s="15">
        <v>0</v>
      </c>
      <c r="F21" s="15">
        <v>0</v>
      </c>
      <c r="G21" s="20">
        <v>67.599999999999994</v>
      </c>
      <c r="H21" s="20">
        <v>21.5</v>
      </c>
      <c r="I21" s="15">
        <v>0</v>
      </c>
      <c r="J21" s="15">
        <v>0</v>
      </c>
      <c r="K21" s="15">
        <v>0</v>
      </c>
      <c r="L21" s="22">
        <v>165.89999999999998</v>
      </c>
      <c r="M21" s="20">
        <v>165.89999999999998</v>
      </c>
    </row>
    <row r="22" spans="1:14" x14ac:dyDescent="0.25">
      <c r="A22" s="23" t="s">
        <v>35</v>
      </c>
      <c r="B22" s="23"/>
      <c r="C22" s="23"/>
      <c r="D22" s="23"/>
      <c r="E22" s="28" t="s">
        <v>38</v>
      </c>
      <c r="F22" s="28" t="s">
        <v>38</v>
      </c>
      <c r="G22" s="24">
        <f>SUM(G21:G21)</f>
        <v>67.599999999999994</v>
      </c>
      <c r="H22" s="24">
        <f>SUM(H21:H21)</f>
        <v>21.5</v>
      </c>
      <c r="I22" s="28" t="s">
        <v>38</v>
      </c>
      <c r="J22" s="28" t="s">
        <v>38</v>
      </c>
      <c r="K22" s="28" t="s">
        <v>38</v>
      </c>
      <c r="L22" s="24">
        <f>SUM(L21:L21)</f>
        <v>165.89999999999998</v>
      </c>
      <c r="M22" s="24">
        <f>SUM(M21:M21)</f>
        <v>165.89999999999998</v>
      </c>
    </row>
    <row r="26" spans="1:14" x14ac:dyDescent="0.25">
      <c r="A26" s="25" t="s">
        <v>39</v>
      </c>
    </row>
    <row r="28" spans="1:14" ht="35.25" customHeight="1" x14ac:dyDescent="0.25">
      <c r="A28" s="7" t="s">
        <v>1</v>
      </c>
      <c r="B28" s="8" t="s">
        <v>2</v>
      </c>
      <c r="C28" s="8" t="s">
        <v>40</v>
      </c>
      <c r="D28" s="9" t="s">
        <v>3</v>
      </c>
      <c r="E28" s="9" t="s">
        <v>4</v>
      </c>
      <c r="F28" s="10" t="s">
        <v>5</v>
      </c>
      <c r="G28" s="10" t="s">
        <v>6</v>
      </c>
      <c r="H28" s="29" t="s">
        <v>7</v>
      </c>
      <c r="I28" s="10" t="s">
        <v>8</v>
      </c>
      <c r="J28" s="10" t="s">
        <v>9</v>
      </c>
      <c r="K28" s="29" t="s">
        <v>41</v>
      </c>
      <c r="L28" s="10" t="s">
        <v>11</v>
      </c>
      <c r="M28" s="10" t="s">
        <v>12</v>
      </c>
      <c r="N28" s="9" t="s">
        <v>13</v>
      </c>
    </row>
    <row r="29" spans="1:14" x14ac:dyDescent="0.25">
      <c r="A29" s="11"/>
      <c r="B29" s="11"/>
      <c r="C29" s="30" t="s">
        <v>42</v>
      </c>
      <c r="D29" s="41" t="s">
        <v>14</v>
      </c>
      <c r="E29" s="42"/>
      <c r="F29" s="31" t="s">
        <v>15</v>
      </c>
      <c r="G29" s="31" t="s">
        <v>15</v>
      </c>
      <c r="H29" s="31" t="s">
        <v>15</v>
      </c>
      <c r="I29" s="31" t="s">
        <v>15</v>
      </c>
      <c r="J29" s="31" t="s">
        <v>15</v>
      </c>
      <c r="K29" s="31" t="s">
        <v>15</v>
      </c>
      <c r="L29" s="31" t="s">
        <v>15</v>
      </c>
      <c r="M29" s="31" t="s">
        <v>15</v>
      </c>
      <c r="N29" s="8" t="s">
        <v>15</v>
      </c>
    </row>
    <row r="30" spans="1:14" x14ac:dyDescent="0.25">
      <c r="A30" s="12" t="s">
        <v>43</v>
      </c>
      <c r="B30" s="32" t="s">
        <v>44</v>
      </c>
      <c r="C30" s="13" t="s">
        <v>45</v>
      </c>
      <c r="D30" s="13"/>
      <c r="E30" s="13"/>
      <c r="F30" s="14">
        <v>1856.58</v>
      </c>
      <c r="G30" s="14">
        <f>690.98 + 150</f>
        <v>840.98</v>
      </c>
      <c r="H30" s="14">
        <v>3156.51</v>
      </c>
      <c r="I30" s="14">
        <v>462.64999999999992</v>
      </c>
      <c r="J30" s="14">
        <f>33.56 + 11</f>
        <v>44.56</v>
      </c>
      <c r="K30" s="15">
        <v>0</v>
      </c>
      <c r="L30" s="15">
        <v>0</v>
      </c>
      <c r="M30" s="16">
        <f t="shared" ref="M30:M41" si="2">SUM(F30:L30)</f>
        <v>6361.28</v>
      </c>
      <c r="N30" s="14">
        <v>6118.6500000000005</v>
      </c>
    </row>
    <row r="31" spans="1:14" ht="30" x14ac:dyDescent="0.25">
      <c r="A31" s="12" t="s">
        <v>46</v>
      </c>
      <c r="B31" s="32" t="s">
        <v>47</v>
      </c>
      <c r="C31" s="13" t="s">
        <v>45</v>
      </c>
      <c r="D31" s="13"/>
      <c r="E31" s="13"/>
      <c r="F31" s="14">
        <v>680.11999999999989</v>
      </c>
      <c r="G31" s="14">
        <f>1929.28 + 150</f>
        <v>2079.2799999999997</v>
      </c>
      <c r="H31" s="14">
        <v>5298.0999999999976</v>
      </c>
      <c r="I31" s="14">
        <v>365.78</v>
      </c>
      <c r="J31" s="14">
        <f>389.38 + 11</f>
        <v>400.38</v>
      </c>
      <c r="K31" s="17">
        <f>10</f>
        <v>10</v>
      </c>
      <c r="L31" s="17">
        <v>113.23</v>
      </c>
      <c r="M31" s="16">
        <f t="shared" si="2"/>
        <v>8946.8899999999958</v>
      </c>
      <c r="N31" s="17">
        <v>3458.67</v>
      </c>
    </row>
    <row r="32" spans="1:14" x14ac:dyDescent="0.25">
      <c r="A32" s="12" t="s">
        <v>48</v>
      </c>
      <c r="B32" s="32" t="s">
        <v>49</v>
      </c>
      <c r="C32" s="13" t="s">
        <v>50</v>
      </c>
      <c r="D32" s="33" t="s">
        <v>51</v>
      </c>
      <c r="E32" s="13"/>
      <c r="F32" s="14">
        <v>4757.7299999999996</v>
      </c>
      <c r="G32" s="14">
        <f>653.79 + 150</f>
        <v>803.79</v>
      </c>
      <c r="H32" s="14">
        <v>1431.3299999999997</v>
      </c>
      <c r="I32" s="14">
        <v>390.92000000000007</v>
      </c>
      <c r="J32" s="14">
        <f>410.44 + 11-43</f>
        <v>378.44</v>
      </c>
      <c r="K32" s="15">
        <v>0</v>
      </c>
      <c r="L32" s="17">
        <v>33.700000000000003</v>
      </c>
      <c r="M32" s="16">
        <f t="shared" si="2"/>
        <v>7795.9099999999989</v>
      </c>
      <c r="N32" s="17"/>
    </row>
    <row r="33" spans="1:14" ht="30" x14ac:dyDescent="0.25">
      <c r="A33" s="12" t="s">
        <v>52</v>
      </c>
      <c r="B33" s="32" t="s">
        <v>53</v>
      </c>
      <c r="C33" s="13" t="s">
        <v>45</v>
      </c>
      <c r="D33" s="13"/>
      <c r="E33" s="13" t="s">
        <v>54</v>
      </c>
      <c r="F33" s="14">
        <v>173.57</v>
      </c>
      <c r="G33" s="14">
        <f>1392.81 + 150</f>
        <v>1542.81</v>
      </c>
      <c r="H33" s="14">
        <v>3466.1500000000005</v>
      </c>
      <c r="I33" s="14">
        <v>238.00000000000003</v>
      </c>
      <c r="J33" s="14">
        <f>551.43 + 11</f>
        <v>562.42999999999995</v>
      </c>
      <c r="K33" s="15">
        <v>0</v>
      </c>
      <c r="L33" s="15">
        <v>0</v>
      </c>
      <c r="M33" s="16">
        <f t="shared" si="2"/>
        <v>5982.9600000000009</v>
      </c>
      <c r="N33" s="17">
        <v>15262.000000000002</v>
      </c>
    </row>
    <row r="34" spans="1:14" s="6" customFormat="1" ht="30" x14ac:dyDescent="0.25">
      <c r="A34" s="18" t="s">
        <v>55</v>
      </c>
      <c r="B34" s="34" t="s">
        <v>56</v>
      </c>
      <c r="C34" s="13" t="s">
        <v>45</v>
      </c>
      <c r="D34" s="35" t="s">
        <v>57</v>
      </c>
      <c r="E34" s="35"/>
      <c r="F34" s="21">
        <v>659.64</v>
      </c>
      <c r="G34" s="21">
        <f>502 + 150</f>
        <v>652</v>
      </c>
      <c r="H34" s="21">
        <v>1301.5500000000002</v>
      </c>
      <c r="I34" s="21">
        <v>125.78</v>
      </c>
      <c r="J34" s="21">
        <f>50.45 + 11</f>
        <v>61.45</v>
      </c>
      <c r="K34" s="21">
        <f>376</f>
        <v>376</v>
      </c>
      <c r="L34" s="21">
        <v>57.39</v>
      </c>
      <c r="M34" s="16">
        <f t="shared" si="2"/>
        <v>3233.81</v>
      </c>
      <c r="N34" s="20"/>
    </row>
    <row r="35" spans="1:14" s="6" customFormat="1" ht="33.75" customHeight="1" x14ac:dyDescent="0.25">
      <c r="A35" s="18" t="s">
        <v>58</v>
      </c>
      <c r="B35" s="34" t="s">
        <v>53</v>
      </c>
      <c r="C35" s="13" t="s">
        <v>59</v>
      </c>
      <c r="D35" s="35" t="s">
        <v>60</v>
      </c>
      <c r="E35" s="35"/>
      <c r="F35" s="15">
        <v>0</v>
      </c>
      <c r="G35" s="21">
        <f>590</f>
        <v>590</v>
      </c>
      <c r="H35" s="21">
        <v>1133.8999999999999</v>
      </c>
      <c r="I35" s="21">
        <v>0</v>
      </c>
      <c r="J35" s="21">
        <v>254.62</v>
      </c>
      <c r="K35" s="15">
        <v>0</v>
      </c>
      <c r="L35" s="15">
        <v>0</v>
      </c>
      <c r="M35" s="16">
        <f t="shared" si="2"/>
        <v>1978.52</v>
      </c>
      <c r="N35" s="20"/>
    </row>
    <row r="36" spans="1:14" s="6" customFormat="1" x14ac:dyDescent="0.25">
      <c r="A36" s="18" t="s">
        <v>61</v>
      </c>
      <c r="B36" s="34" t="s">
        <v>62</v>
      </c>
      <c r="C36" s="13" t="s">
        <v>45</v>
      </c>
      <c r="D36" s="35" t="s">
        <v>63</v>
      </c>
      <c r="E36" s="19"/>
      <c r="F36" s="21">
        <v>609.62</v>
      </c>
      <c r="G36" s="21">
        <f>338.2</f>
        <v>338.2</v>
      </c>
      <c r="H36" s="21">
        <v>2982.86</v>
      </c>
      <c r="I36" s="21">
        <v>22.9</v>
      </c>
      <c r="J36" s="21">
        <f>20</f>
        <v>20</v>
      </c>
      <c r="K36" s="15">
        <v>0</v>
      </c>
      <c r="L36" s="15">
        <v>0</v>
      </c>
      <c r="M36" s="16">
        <f t="shared" si="2"/>
        <v>3973.5800000000004</v>
      </c>
      <c r="N36" s="20"/>
    </row>
    <row r="37" spans="1:14" s="6" customFormat="1" x14ac:dyDescent="0.25">
      <c r="A37" s="18" t="s">
        <v>64</v>
      </c>
      <c r="B37" s="34" t="s">
        <v>65</v>
      </c>
      <c r="C37" s="19" t="s">
        <v>45</v>
      </c>
      <c r="D37" s="19"/>
      <c r="E37" s="35" t="s">
        <v>34</v>
      </c>
      <c r="F37" s="20">
        <v>656.87</v>
      </c>
      <c r="G37" s="20">
        <f>412.4 + 150</f>
        <v>562.4</v>
      </c>
      <c r="H37" s="20">
        <v>678.55</v>
      </c>
      <c r="I37" s="20">
        <v>48.2</v>
      </c>
      <c r="J37" s="20">
        <f>117.4 + 11</f>
        <v>128.4</v>
      </c>
      <c r="K37" s="15">
        <v>0</v>
      </c>
      <c r="L37" s="15">
        <v>0</v>
      </c>
      <c r="M37" s="16">
        <f t="shared" si="2"/>
        <v>2074.42</v>
      </c>
      <c r="N37" s="20">
        <v>2565.7799999999993</v>
      </c>
    </row>
    <row r="38" spans="1:14" s="6" customFormat="1" x14ac:dyDescent="0.25">
      <c r="A38" s="12" t="s">
        <v>66</v>
      </c>
      <c r="B38" s="32" t="s">
        <v>67</v>
      </c>
      <c r="C38" s="13" t="s">
        <v>59</v>
      </c>
      <c r="D38" s="36"/>
      <c r="E38" s="13"/>
      <c r="F38" s="14">
        <v>818.15000000000009</v>
      </c>
      <c r="G38" s="14">
        <f>1481.65 + 150</f>
        <v>1631.65</v>
      </c>
      <c r="H38" s="14">
        <v>7278.4500000000007</v>
      </c>
      <c r="I38" s="14">
        <v>421.96000000000004</v>
      </c>
      <c r="J38" s="14">
        <f>732.94 + 11</f>
        <v>743.94</v>
      </c>
      <c r="K38" s="15">
        <v>0</v>
      </c>
      <c r="L38" s="14">
        <v>86.770000000000024</v>
      </c>
      <c r="M38" s="16">
        <f t="shared" si="2"/>
        <v>10980.92</v>
      </c>
      <c r="N38" s="17">
        <v>12235.219999999998</v>
      </c>
    </row>
    <row r="39" spans="1:14" s="6" customFormat="1" x14ac:dyDescent="0.25">
      <c r="A39" s="12" t="s">
        <v>68</v>
      </c>
      <c r="B39" s="32" t="s">
        <v>49</v>
      </c>
      <c r="C39" s="13" t="s">
        <v>50</v>
      </c>
      <c r="D39" s="13"/>
      <c r="E39" s="33" t="s">
        <v>69</v>
      </c>
      <c r="F39" s="14">
        <v>234.45999999999998</v>
      </c>
      <c r="G39" s="14">
        <f>243.5</f>
        <v>243.5</v>
      </c>
      <c r="H39" s="14">
        <v>106.45999999999997</v>
      </c>
      <c r="I39" s="14">
        <v>68.649999999999977</v>
      </c>
      <c r="J39" s="14">
        <f>67.7</f>
        <v>67.7</v>
      </c>
      <c r="K39" s="15">
        <v>0</v>
      </c>
      <c r="L39" s="14">
        <v>56.35</v>
      </c>
      <c r="M39" s="16">
        <f t="shared" si="2"/>
        <v>777.12</v>
      </c>
      <c r="N39" s="14">
        <v>17245.010000000002</v>
      </c>
    </row>
    <row r="40" spans="1:14" s="6" customFormat="1" x14ac:dyDescent="0.25">
      <c r="A40" s="12" t="s">
        <v>70</v>
      </c>
      <c r="B40" s="32" t="s">
        <v>71</v>
      </c>
      <c r="C40" s="13" t="s">
        <v>72</v>
      </c>
      <c r="D40" s="13"/>
      <c r="E40" s="13"/>
      <c r="F40" s="14">
        <v>2022.9699999999998</v>
      </c>
      <c r="G40" s="14">
        <f>1538.96 + 150</f>
        <v>1688.96</v>
      </c>
      <c r="H40" s="14">
        <v>414.39999999999992</v>
      </c>
      <c r="I40" s="14">
        <v>1956.3700000000006</v>
      </c>
      <c r="J40" s="14">
        <f>861.07 + 11</f>
        <v>872.07</v>
      </c>
      <c r="K40" s="15">
        <v>0</v>
      </c>
      <c r="L40" s="14">
        <v>69.61</v>
      </c>
      <c r="M40" s="16">
        <f t="shared" si="2"/>
        <v>7024.38</v>
      </c>
      <c r="N40" s="14">
        <v>5638.29</v>
      </c>
    </row>
    <row r="41" spans="1:14" s="6" customFormat="1" x14ac:dyDescent="0.25">
      <c r="A41" s="12" t="s">
        <v>73</v>
      </c>
      <c r="B41" s="32" t="s">
        <v>74</v>
      </c>
      <c r="C41" s="13" t="s">
        <v>75</v>
      </c>
      <c r="D41" s="13"/>
      <c r="E41" s="13"/>
      <c r="F41" s="17">
        <v>667.15</v>
      </c>
      <c r="G41" s="14">
        <f>2302.13 + 150</f>
        <v>2452.13</v>
      </c>
      <c r="H41" s="14">
        <v>4198.0000000000009</v>
      </c>
      <c r="I41" s="14">
        <v>1484.75</v>
      </c>
      <c r="J41" s="14">
        <f>1084.68 + 11</f>
        <v>1095.68</v>
      </c>
      <c r="K41" s="17">
        <f>18.2</f>
        <v>18.2</v>
      </c>
      <c r="L41" s="15">
        <v>0</v>
      </c>
      <c r="M41" s="16">
        <f t="shared" si="2"/>
        <v>9915.9100000000017</v>
      </c>
      <c r="N41" s="14">
        <v>8791.2500000000018</v>
      </c>
    </row>
    <row r="42" spans="1:14" s="6" customFormat="1" x14ac:dyDescent="0.25">
      <c r="A42" s="23" t="s">
        <v>35</v>
      </c>
      <c r="B42" s="23"/>
      <c r="C42" s="23"/>
      <c r="D42" s="23"/>
      <c r="E42" s="23"/>
      <c r="F42" s="24">
        <f t="shared" ref="F42:N42" si="3">SUM(F30:F41)</f>
        <v>13136.859999999999</v>
      </c>
      <c r="G42" s="24">
        <f t="shared" si="3"/>
        <v>13425.7</v>
      </c>
      <c r="H42" s="24">
        <f t="shared" si="3"/>
        <v>31446.259999999995</v>
      </c>
      <c r="I42" s="24">
        <f t="shared" si="3"/>
        <v>5585.9600000000009</v>
      </c>
      <c r="J42" s="24">
        <f t="shared" si="3"/>
        <v>4629.67</v>
      </c>
      <c r="K42" s="24">
        <f t="shared" si="3"/>
        <v>404.2</v>
      </c>
      <c r="L42" s="24">
        <f t="shared" si="3"/>
        <v>417.05000000000007</v>
      </c>
      <c r="M42" s="24">
        <f t="shared" si="3"/>
        <v>69045.7</v>
      </c>
      <c r="N42" s="24">
        <f t="shared" si="3"/>
        <v>71314.87</v>
      </c>
    </row>
    <row r="44" spans="1:14" s="6" customFormat="1" x14ac:dyDescent="0.25">
      <c r="A44"/>
      <c r="B44"/>
      <c r="C44"/>
      <c r="D44"/>
      <c r="E44" s="26"/>
      <c r="F44"/>
      <c r="G44"/>
      <c r="H44" s="26"/>
      <c r="I44" s="26"/>
      <c r="J44" s="26"/>
      <c r="K44" s="26"/>
      <c r="L44"/>
      <c r="M44" s="26"/>
    </row>
    <row r="45" spans="1:14" s="6" customFormat="1" x14ac:dyDescent="0.25">
      <c r="A45"/>
      <c r="B45"/>
      <c r="C45"/>
      <c r="D45"/>
      <c r="E45" s="26"/>
      <c r="F45"/>
      <c r="G45"/>
      <c r="H45"/>
      <c r="I45" s="26"/>
      <c r="J45" s="26"/>
      <c r="K45" s="26"/>
      <c r="L45" s="26"/>
      <c r="M45" s="26"/>
    </row>
    <row r="46" spans="1:14" s="6" customFormat="1" x14ac:dyDescent="0.25">
      <c r="A46" s="25" t="s">
        <v>76</v>
      </c>
      <c r="B46"/>
      <c r="C46"/>
      <c r="D46"/>
      <c r="E46" s="26"/>
      <c r="F46" s="26"/>
      <c r="G46" s="26"/>
      <c r="H46" s="26"/>
      <c r="I46" s="26"/>
      <c r="J46" s="27"/>
      <c r="K46" s="27"/>
      <c r="L46" s="27"/>
      <c r="M46" s="27"/>
      <c r="N46" s="27"/>
    </row>
    <row r="47" spans="1:14" s="6" customFormat="1" x14ac:dyDescent="0.25">
      <c r="A47"/>
      <c r="B47"/>
      <c r="C47"/>
      <c r="D47"/>
      <c r="E47"/>
      <c r="F47"/>
      <c r="G47"/>
      <c r="H47"/>
      <c r="I47"/>
    </row>
    <row r="48" spans="1:14" s="6" customFormat="1" x14ac:dyDescent="0.25">
      <c r="A48" s="7" t="s">
        <v>1</v>
      </c>
      <c r="B48" s="8" t="s">
        <v>2</v>
      </c>
      <c r="C48" s="9" t="s">
        <v>3</v>
      </c>
      <c r="D48" s="9" t="s">
        <v>4</v>
      </c>
      <c r="E48" s="10" t="s">
        <v>5</v>
      </c>
      <c r="F48" s="10" t="s">
        <v>6</v>
      </c>
      <c r="G48" s="10" t="s">
        <v>7</v>
      </c>
      <c r="H48" s="10" t="s">
        <v>8</v>
      </c>
      <c r="I48" s="10" t="s">
        <v>9</v>
      </c>
      <c r="J48" s="10" t="s">
        <v>10</v>
      </c>
      <c r="K48" s="10" t="s">
        <v>11</v>
      </c>
      <c r="L48" s="10" t="s">
        <v>12</v>
      </c>
      <c r="M48" s="9" t="s">
        <v>13</v>
      </c>
    </row>
    <row r="49" spans="1:13" s="6" customFormat="1" x14ac:dyDescent="0.25">
      <c r="A49" s="11"/>
      <c r="B49" s="11"/>
      <c r="C49" s="41" t="s">
        <v>14</v>
      </c>
      <c r="D49" s="42"/>
      <c r="E49" s="10" t="s">
        <v>15</v>
      </c>
      <c r="F49" s="10" t="s">
        <v>15</v>
      </c>
      <c r="G49" s="10" t="s">
        <v>15</v>
      </c>
      <c r="H49" s="10" t="s">
        <v>15</v>
      </c>
      <c r="I49" s="10" t="s">
        <v>15</v>
      </c>
      <c r="J49" s="10" t="s">
        <v>15</v>
      </c>
      <c r="K49" s="10" t="s">
        <v>15</v>
      </c>
      <c r="L49" s="10" t="s">
        <v>15</v>
      </c>
      <c r="M49" s="9" t="s">
        <v>15</v>
      </c>
    </row>
    <row r="50" spans="1:13" s="6" customFormat="1" x14ac:dyDescent="0.25">
      <c r="A50" s="12" t="s">
        <v>77</v>
      </c>
      <c r="B50" s="13" t="s">
        <v>19</v>
      </c>
      <c r="C50" s="13"/>
      <c r="D50" s="36"/>
      <c r="E50" s="15">
        <v>0</v>
      </c>
      <c r="F50" s="14">
        <v>85.199999999999989</v>
      </c>
      <c r="G50" s="14">
        <v>576.29999999999995</v>
      </c>
      <c r="H50" s="17"/>
      <c r="I50" s="15">
        <v>0</v>
      </c>
      <c r="J50" s="15">
        <v>0</v>
      </c>
      <c r="K50" s="14">
        <v>7.09</v>
      </c>
      <c r="L50" s="16">
        <f t="shared" ref="L50:L57" si="4">SUM(E50:K50)</f>
        <v>668.59</v>
      </c>
      <c r="M50" s="14">
        <v>305.3</v>
      </c>
    </row>
    <row r="51" spans="1:13" s="6" customFormat="1" x14ac:dyDescent="0.25">
      <c r="A51" s="12" t="s">
        <v>78</v>
      </c>
      <c r="B51" s="13" t="s">
        <v>19</v>
      </c>
      <c r="C51" s="13"/>
      <c r="D51" s="36" t="s">
        <v>79</v>
      </c>
      <c r="E51" s="15">
        <v>0</v>
      </c>
      <c r="F51" s="14">
        <v>160.32999999999998</v>
      </c>
      <c r="G51" s="14">
        <v>322.54999999999995</v>
      </c>
      <c r="H51" s="14">
        <v>126</v>
      </c>
      <c r="I51" s="15">
        <v>0</v>
      </c>
      <c r="J51" s="15">
        <v>0</v>
      </c>
      <c r="K51" s="14"/>
      <c r="L51" s="16">
        <f t="shared" si="4"/>
        <v>608.87999999999988</v>
      </c>
      <c r="M51" s="14">
        <v>2173.48</v>
      </c>
    </row>
    <row r="52" spans="1:13" s="6" customFormat="1" x14ac:dyDescent="0.25">
      <c r="A52" s="12" t="s">
        <v>80</v>
      </c>
      <c r="B52" s="13" t="s">
        <v>19</v>
      </c>
      <c r="C52" s="13"/>
      <c r="D52" s="36"/>
      <c r="E52" s="15">
        <v>0</v>
      </c>
      <c r="F52" s="17">
        <v>0.6</v>
      </c>
      <c r="G52" s="14">
        <v>304.35000000000002</v>
      </c>
      <c r="H52" s="17"/>
      <c r="I52" s="15">
        <v>0</v>
      </c>
      <c r="J52" s="15">
        <v>0</v>
      </c>
      <c r="K52" s="17">
        <v>31.970000000000002</v>
      </c>
      <c r="L52" s="16">
        <f t="shared" si="4"/>
        <v>336.92000000000007</v>
      </c>
      <c r="M52" s="14">
        <v>62.08</v>
      </c>
    </row>
    <row r="53" spans="1:13" s="6" customFormat="1" x14ac:dyDescent="0.25">
      <c r="A53" s="12" t="s">
        <v>81</v>
      </c>
      <c r="B53" s="13" t="s">
        <v>19</v>
      </c>
      <c r="C53" s="13" t="s">
        <v>82</v>
      </c>
      <c r="D53" s="36"/>
      <c r="E53" s="15">
        <v>0</v>
      </c>
      <c r="F53" s="14">
        <v>950.90000000000009</v>
      </c>
      <c r="G53" s="14">
        <v>1887.4499999999998</v>
      </c>
      <c r="H53" s="17"/>
      <c r="I53" s="15">
        <v>0</v>
      </c>
      <c r="J53" s="15">
        <v>0</v>
      </c>
      <c r="K53" s="17">
        <v>15.190000000000001</v>
      </c>
      <c r="L53" s="16">
        <f t="shared" si="4"/>
        <v>2853.54</v>
      </c>
      <c r="M53" s="17">
        <v>826.43000000000006</v>
      </c>
    </row>
    <row r="54" spans="1:13" s="6" customFormat="1" x14ac:dyDescent="0.25">
      <c r="A54" s="18" t="s">
        <v>83</v>
      </c>
      <c r="B54" s="19" t="s">
        <v>19</v>
      </c>
      <c r="C54" s="19"/>
      <c r="D54" s="37"/>
      <c r="E54" s="15">
        <v>0</v>
      </c>
      <c r="F54" s="20">
        <v>1809.6399999999999</v>
      </c>
      <c r="G54" s="20">
        <v>2313.66</v>
      </c>
      <c r="H54" s="20">
        <v>156</v>
      </c>
      <c r="I54" s="20">
        <v>2.7</v>
      </c>
      <c r="J54" s="21">
        <v>9.48</v>
      </c>
      <c r="K54" s="20">
        <v>386.61000000000013</v>
      </c>
      <c r="L54" s="22">
        <f t="shared" si="4"/>
        <v>4678.0899999999983</v>
      </c>
      <c r="M54" s="20">
        <v>3615.4900000000002</v>
      </c>
    </row>
    <row r="55" spans="1:13" s="6" customFormat="1" x14ac:dyDescent="0.25">
      <c r="A55" s="12" t="s">
        <v>84</v>
      </c>
      <c r="B55" s="13" t="s">
        <v>19</v>
      </c>
      <c r="C55" s="13"/>
      <c r="D55" s="13" t="s">
        <v>85</v>
      </c>
      <c r="E55" s="15">
        <v>0</v>
      </c>
      <c r="F55" s="15">
        <v>0</v>
      </c>
      <c r="G55" s="15">
        <v>0</v>
      </c>
      <c r="H55" s="17"/>
      <c r="I55" s="15">
        <v>0</v>
      </c>
      <c r="J55" s="15">
        <v>0</v>
      </c>
      <c r="K55" s="15">
        <v>0</v>
      </c>
      <c r="L55" s="16">
        <f t="shared" si="4"/>
        <v>0</v>
      </c>
      <c r="M55" s="14">
        <v>277.73</v>
      </c>
    </row>
    <row r="56" spans="1:13" s="6" customFormat="1" x14ac:dyDescent="0.25">
      <c r="A56" s="12" t="s">
        <v>86</v>
      </c>
      <c r="B56" s="13" t="s">
        <v>19</v>
      </c>
      <c r="C56" s="13"/>
      <c r="D56" s="36"/>
      <c r="E56" s="15">
        <v>0</v>
      </c>
      <c r="F56" s="15">
        <v>0</v>
      </c>
      <c r="G56" s="14">
        <f>1407.3+0.6</f>
        <v>1407.8999999999999</v>
      </c>
      <c r="H56" s="14">
        <v>25</v>
      </c>
      <c r="I56" s="15">
        <v>0</v>
      </c>
      <c r="J56" s="15">
        <v>0</v>
      </c>
      <c r="K56" s="14">
        <v>31.46</v>
      </c>
      <c r="L56" s="16">
        <f t="shared" si="4"/>
        <v>1464.36</v>
      </c>
      <c r="M56" s="14">
        <v>2907.1699999999996</v>
      </c>
    </row>
    <row r="57" spans="1:13" s="6" customFormat="1" x14ac:dyDescent="0.25">
      <c r="A57" s="12" t="s">
        <v>87</v>
      </c>
      <c r="B57" s="13" t="s">
        <v>19</v>
      </c>
      <c r="C57" s="13"/>
      <c r="D57" s="13" t="s">
        <v>88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6">
        <f t="shared" si="4"/>
        <v>0</v>
      </c>
      <c r="M57" s="14">
        <v>453.12</v>
      </c>
    </row>
    <row r="58" spans="1:13" s="6" customFormat="1" x14ac:dyDescent="0.25">
      <c r="A58" s="23" t="s">
        <v>35</v>
      </c>
      <c r="B58" s="23"/>
      <c r="C58" s="23"/>
      <c r="D58" s="23"/>
      <c r="E58" s="24">
        <f>SUM(E50:E57)</f>
        <v>0</v>
      </c>
      <c r="F58" s="24">
        <f t="shared" ref="F58:M58" si="5">SUM(F50:F57)</f>
        <v>3006.67</v>
      </c>
      <c r="G58" s="24">
        <f t="shared" si="5"/>
        <v>6812.2099999999991</v>
      </c>
      <c r="H58" s="24">
        <f t="shared" si="5"/>
        <v>307</v>
      </c>
      <c r="I58" s="24">
        <f t="shared" si="5"/>
        <v>2.7</v>
      </c>
      <c r="J58" s="24">
        <f t="shared" si="5"/>
        <v>9.48</v>
      </c>
      <c r="K58" s="24">
        <f t="shared" si="5"/>
        <v>472.32000000000011</v>
      </c>
      <c r="L58" s="24">
        <f t="shared" si="5"/>
        <v>10610.38</v>
      </c>
      <c r="M58" s="24">
        <f t="shared" si="5"/>
        <v>10620.800000000001</v>
      </c>
    </row>
    <row r="62" spans="1:13" s="6" customFormat="1" x14ac:dyDescent="0.25">
      <c r="A62" s="25" t="s">
        <v>89</v>
      </c>
      <c r="B62"/>
      <c r="C62"/>
      <c r="D62"/>
      <c r="E62" s="26"/>
      <c r="F62" s="26"/>
      <c r="G62" s="26"/>
      <c r="H62" s="26"/>
      <c r="I62" s="26"/>
      <c r="J62" s="27"/>
      <c r="K62" s="27"/>
      <c r="L62" s="27"/>
    </row>
    <row r="63" spans="1:13" s="6" customFormat="1" x14ac:dyDescent="0.25">
      <c r="A63"/>
      <c r="B63"/>
      <c r="C63"/>
      <c r="D63"/>
      <c r="E63" s="26"/>
      <c r="F63" s="26"/>
      <c r="G63" s="26"/>
      <c r="H63" s="26"/>
      <c r="I63" s="26"/>
      <c r="J63" s="27"/>
      <c r="K63" s="27"/>
      <c r="L63" s="27"/>
      <c r="M63" s="27"/>
    </row>
    <row r="64" spans="1:13" s="6" customFormat="1" x14ac:dyDescent="0.25">
      <c r="A64" s="7" t="s">
        <v>1</v>
      </c>
      <c r="B64" s="8" t="s">
        <v>2</v>
      </c>
      <c r="C64" s="9" t="s">
        <v>3</v>
      </c>
      <c r="D64" s="9" t="s">
        <v>4</v>
      </c>
      <c r="E64" s="10" t="s">
        <v>5</v>
      </c>
      <c r="F64" s="10" t="s">
        <v>6</v>
      </c>
      <c r="G64" s="10" t="s">
        <v>7</v>
      </c>
      <c r="H64" s="10" t="s">
        <v>8</v>
      </c>
      <c r="I64" s="10" t="s">
        <v>9</v>
      </c>
      <c r="J64" s="10" t="s">
        <v>10</v>
      </c>
      <c r="K64" s="10" t="s">
        <v>11</v>
      </c>
      <c r="L64" s="10" t="s">
        <v>12</v>
      </c>
      <c r="M64" s="9" t="s">
        <v>13</v>
      </c>
    </row>
    <row r="65" spans="1:14" s="6" customFormat="1" x14ac:dyDescent="0.25">
      <c r="A65" s="11"/>
      <c r="B65" s="11"/>
      <c r="C65" s="41" t="s">
        <v>14</v>
      </c>
      <c r="D65" s="42"/>
      <c r="E65" s="10" t="s">
        <v>15</v>
      </c>
      <c r="F65" s="10" t="s">
        <v>15</v>
      </c>
      <c r="G65" s="10" t="s">
        <v>15</v>
      </c>
      <c r="H65" s="10" t="s">
        <v>15</v>
      </c>
      <c r="I65" s="10" t="s">
        <v>15</v>
      </c>
      <c r="J65" s="10" t="s">
        <v>15</v>
      </c>
      <c r="K65" s="10" t="s">
        <v>15</v>
      </c>
      <c r="L65" s="10" t="s">
        <v>15</v>
      </c>
      <c r="M65" s="9" t="s">
        <v>15</v>
      </c>
    </row>
    <row r="66" spans="1:14" s="6" customFormat="1" x14ac:dyDescent="0.25">
      <c r="A66" s="12" t="s">
        <v>90</v>
      </c>
      <c r="B66" s="13" t="s">
        <v>19</v>
      </c>
      <c r="C66" s="13"/>
      <c r="D66" s="36"/>
      <c r="E66" s="15">
        <v>0</v>
      </c>
      <c r="F66" s="15">
        <v>0</v>
      </c>
      <c r="G66" s="15">
        <v>0</v>
      </c>
      <c r="H66" s="14">
        <v>9.16</v>
      </c>
      <c r="I66" s="15">
        <v>0</v>
      </c>
      <c r="J66" s="15">
        <v>0</v>
      </c>
      <c r="K66" s="14">
        <v>37.71</v>
      </c>
      <c r="L66" s="16">
        <f t="shared" ref="L66:L72" si="6">SUM(E66:K66)</f>
        <v>46.870000000000005</v>
      </c>
      <c r="M66" s="14">
        <v>256.21000000000004</v>
      </c>
    </row>
    <row r="67" spans="1:14" s="6" customFormat="1" x14ac:dyDescent="0.25">
      <c r="A67" s="12" t="s">
        <v>91</v>
      </c>
      <c r="B67" s="13" t="s">
        <v>19</v>
      </c>
      <c r="C67" s="13"/>
      <c r="D67" s="36"/>
      <c r="E67" s="15">
        <v>0</v>
      </c>
      <c r="F67" s="14">
        <v>339.98</v>
      </c>
      <c r="G67" s="14">
        <v>522.5</v>
      </c>
      <c r="H67" s="14">
        <v>353.65000000000003</v>
      </c>
      <c r="I67" s="14">
        <v>5</v>
      </c>
      <c r="J67" s="17"/>
      <c r="K67" s="14">
        <v>38.31</v>
      </c>
      <c r="L67" s="16">
        <f t="shared" si="6"/>
        <v>1259.44</v>
      </c>
      <c r="M67" s="14">
        <v>1013.54</v>
      </c>
    </row>
    <row r="68" spans="1:14" s="6" customFormat="1" x14ac:dyDescent="0.25">
      <c r="A68" s="18" t="s">
        <v>92</v>
      </c>
      <c r="B68" s="19" t="s">
        <v>19</v>
      </c>
      <c r="C68" s="19"/>
      <c r="D68" s="37"/>
      <c r="E68" s="15">
        <v>0</v>
      </c>
      <c r="F68" s="15">
        <v>0</v>
      </c>
      <c r="G68" s="20">
        <v>6.6</v>
      </c>
      <c r="H68" s="20">
        <v>97.3</v>
      </c>
      <c r="I68" s="15">
        <v>0</v>
      </c>
      <c r="J68" s="15">
        <v>0</v>
      </c>
      <c r="K68" s="20">
        <v>24.6</v>
      </c>
      <c r="L68" s="22">
        <f t="shared" si="6"/>
        <v>128.5</v>
      </c>
      <c r="M68" s="38">
        <v>188.38</v>
      </c>
    </row>
    <row r="69" spans="1:14" s="6" customFormat="1" x14ac:dyDescent="0.25">
      <c r="A69" s="12" t="s">
        <v>93</v>
      </c>
      <c r="B69" s="13" t="s">
        <v>19</v>
      </c>
      <c r="C69" s="13"/>
      <c r="D69" s="36"/>
      <c r="E69" s="15">
        <v>0</v>
      </c>
      <c r="F69" s="14">
        <v>107.23</v>
      </c>
      <c r="G69" s="15">
        <v>0</v>
      </c>
      <c r="H69" s="15">
        <v>0</v>
      </c>
      <c r="I69" s="15">
        <v>0</v>
      </c>
      <c r="J69" s="15">
        <v>0</v>
      </c>
      <c r="K69" s="14">
        <v>31.200000000000003</v>
      </c>
      <c r="L69" s="16">
        <f t="shared" si="6"/>
        <v>138.43</v>
      </c>
      <c r="M69" s="14">
        <v>292.15999999999997</v>
      </c>
    </row>
    <row r="70" spans="1:14" s="6" customFormat="1" x14ac:dyDescent="0.25">
      <c r="A70" s="18" t="s">
        <v>94</v>
      </c>
      <c r="B70" s="19" t="s">
        <v>19</v>
      </c>
      <c r="C70" s="19"/>
      <c r="D70" s="37"/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20">
        <v>31.309999999999995</v>
      </c>
      <c r="L70" s="22">
        <f t="shared" si="6"/>
        <v>31.309999999999995</v>
      </c>
      <c r="M70" s="20">
        <v>322.52000000000004</v>
      </c>
    </row>
    <row r="71" spans="1:14" s="6" customFormat="1" x14ac:dyDescent="0.25">
      <c r="A71" s="12" t="s">
        <v>95</v>
      </c>
      <c r="B71" s="13" t="s">
        <v>19</v>
      </c>
      <c r="C71" s="13"/>
      <c r="D71" s="36"/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4">
        <v>24.6</v>
      </c>
      <c r="L71" s="16">
        <f t="shared" si="6"/>
        <v>24.6</v>
      </c>
      <c r="M71" s="14">
        <v>155.72999999999999</v>
      </c>
    </row>
    <row r="72" spans="1:14" s="6" customFormat="1" x14ac:dyDescent="0.25">
      <c r="A72" s="12" t="s">
        <v>96</v>
      </c>
      <c r="B72" s="13" t="s">
        <v>19</v>
      </c>
      <c r="C72" s="13"/>
      <c r="D72" s="13" t="s">
        <v>97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6">
        <f t="shared" si="6"/>
        <v>0</v>
      </c>
      <c r="M72" s="14">
        <v>12.1</v>
      </c>
      <c r="N72" s="39"/>
    </row>
    <row r="73" spans="1:14" s="6" customFormat="1" x14ac:dyDescent="0.25">
      <c r="A73" s="23" t="s">
        <v>35</v>
      </c>
      <c r="B73" s="23"/>
      <c r="C73" s="23"/>
      <c r="D73" s="23"/>
      <c r="E73" s="24">
        <f>SUM(E66:E72)</f>
        <v>0</v>
      </c>
      <c r="F73" s="24">
        <f t="shared" ref="F73:M73" si="7">SUM(F66:F72)</f>
        <v>447.21000000000004</v>
      </c>
      <c r="G73" s="24">
        <f t="shared" si="7"/>
        <v>529.1</v>
      </c>
      <c r="H73" s="24">
        <f t="shared" si="7"/>
        <v>460.11000000000007</v>
      </c>
      <c r="I73" s="24">
        <f t="shared" si="7"/>
        <v>5</v>
      </c>
      <c r="J73" s="24">
        <f t="shared" si="7"/>
        <v>0</v>
      </c>
      <c r="K73" s="24">
        <f t="shared" si="7"/>
        <v>187.73</v>
      </c>
      <c r="L73" s="24">
        <f t="shared" si="7"/>
        <v>1629.1499999999999</v>
      </c>
      <c r="M73" s="24">
        <f t="shared" si="7"/>
        <v>2240.64</v>
      </c>
    </row>
    <row r="74" spans="1:14" s="6" customFormat="1" x14ac:dyDescent="0.25">
      <c r="A74"/>
      <c r="B74"/>
      <c r="C74"/>
      <c r="D74"/>
      <c r="E74" s="26"/>
      <c r="F74" s="26"/>
      <c r="G74" s="26"/>
      <c r="H74" s="26"/>
      <c r="I74" s="26"/>
      <c r="J74" s="27"/>
      <c r="K74" s="27"/>
      <c r="L74" s="27"/>
      <c r="M74" s="27"/>
    </row>
    <row r="76" spans="1:14" s="6" customFormat="1" x14ac:dyDescent="0.25">
      <c r="A76"/>
      <c r="B76"/>
      <c r="C76"/>
      <c r="D76"/>
      <c r="E76"/>
      <c r="F76"/>
      <c r="G76" s="26"/>
      <c r="H76" s="26"/>
      <c r="I76" s="26"/>
      <c r="J76" s="26"/>
      <c r="K76"/>
      <c r="L76" s="26"/>
    </row>
    <row r="77" spans="1:14" s="6" customFormat="1" x14ac:dyDescent="0.25">
      <c r="A77" s="25" t="s">
        <v>98</v>
      </c>
      <c r="B77"/>
      <c r="C77"/>
      <c r="D77"/>
      <c r="E77" s="26"/>
      <c r="F77" s="26"/>
      <c r="G77" s="26"/>
      <c r="H77" s="26"/>
      <c r="I77" s="26"/>
      <c r="J77" s="27"/>
      <c r="K77" s="27"/>
      <c r="L77" s="27"/>
    </row>
    <row r="79" spans="1:14" s="6" customFormat="1" x14ac:dyDescent="0.25">
      <c r="A79" s="7" t="s">
        <v>1</v>
      </c>
      <c r="B79" s="8" t="s">
        <v>2</v>
      </c>
      <c r="C79" s="9" t="s">
        <v>3</v>
      </c>
      <c r="D79" s="9" t="s">
        <v>4</v>
      </c>
      <c r="E79" s="10" t="s">
        <v>5</v>
      </c>
      <c r="F79" s="10" t="s">
        <v>6</v>
      </c>
      <c r="G79" s="10" t="s">
        <v>7</v>
      </c>
      <c r="H79" s="10" t="s">
        <v>8</v>
      </c>
      <c r="I79" s="10" t="s">
        <v>9</v>
      </c>
      <c r="J79" s="10" t="s">
        <v>10</v>
      </c>
      <c r="K79" s="10" t="s">
        <v>11</v>
      </c>
      <c r="L79" s="10" t="s">
        <v>12</v>
      </c>
      <c r="M79" s="9" t="s">
        <v>13</v>
      </c>
    </row>
    <row r="80" spans="1:14" s="6" customFormat="1" x14ac:dyDescent="0.25">
      <c r="A80" s="11"/>
      <c r="B80" s="11"/>
      <c r="C80" s="41" t="s">
        <v>14</v>
      </c>
      <c r="D80" s="42"/>
      <c r="E80" s="10" t="s">
        <v>15</v>
      </c>
      <c r="F80" s="10" t="s">
        <v>15</v>
      </c>
      <c r="G80" s="10" t="s">
        <v>15</v>
      </c>
      <c r="H80" s="10" t="s">
        <v>15</v>
      </c>
      <c r="I80" s="10" t="s">
        <v>15</v>
      </c>
      <c r="J80" s="10" t="s">
        <v>15</v>
      </c>
      <c r="K80" s="10" t="s">
        <v>15</v>
      </c>
      <c r="L80" s="10" t="s">
        <v>15</v>
      </c>
      <c r="M80" s="9" t="s">
        <v>15</v>
      </c>
    </row>
    <row r="81" spans="1:13" s="6" customFormat="1" x14ac:dyDescent="0.25">
      <c r="A81" s="12" t="s">
        <v>99</v>
      </c>
      <c r="B81" s="13" t="s">
        <v>19</v>
      </c>
      <c r="C81" s="13"/>
      <c r="D81" s="13"/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6">
        <f>SUM(E81:K81)</f>
        <v>0</v>
      </c>
      <c r="M81" s="14">
        <v>3458.05</v>
      </c>
    </row>
    <row r="82" spans="1:13" s="6" customFormat="1" x14ac:dyDescent="0.25">
      <c r="A82" s="12" t="s">
        <v>100</v>
      </c>
      <c r="B82" s="13" t="s">
        <v>19</v>
      </c>
      <c r="C82" s="13" t="s">
        <v>101</v>
      </c>
      <c r="D82" s="13"/>
      <c r="E82" s="15">
        <v>0</v>
      </c>
      <c r="F82" s="15">
        <v>0</v>
      </c>
      <c r="G82" s="15">
        <v>0</v>
      </c>
      <c r="H82" s="15">
        <v>0</v>
      </c>
      <c r="I82" s="17">
        <v>5.8</v>
      </c>
      <c r="J82" s="15">
        <v>0</v>
      </c>
      <c r="K82" s="17">
        <v>5.57</v>
      </c>
      <c r="L82" s="16">
        <f>SUM(E82:K82)</f>
        <v>11.370000000000001</v>
      </c>
      <c r="M82" s="17" t="s">
        <v>38</v>
      </c>
    </row>
    <row r="83" spans="1:13" s="6" customFormat="1" x14ac:dyDescent="0.25">
      <c r="A83" s="12" t="s">
        <v>102</v>
      </c>
      <c r="B83" s="13" t="s">
        <v>19</v>
      </c>
      <c r="C83" s="13"/>
      <c r="D83" s="13"/>
      <c r="E83" s="15">
        <v>0</v>
      </c>
      <c r="F83" s="14">
        <v>108.76</v>
      </c>
      <c r="G83" s="14">
        <v>293.09999999999997</v>
      </c>
      <c r="H83" s="15">
        <v>0</v>
      </c>
      <c r="I83" s="17">
        <v>5.8</v>
      </c>
      <c r="J83" s="15">
        <v>0</v>
      </c>
      <c r="K83" s="14">
        <v>17.830000000000002</v>
      </c>
      <c r="L83" s="16">
        <f t="shared" ref="L83:L89" si="8">SUM(E83:K83)</f>
        <v>425.48999999999995</v>
      </c>
      <c r="M83" s="14">
        <v>343.25</v>
      </c>
    </row>
    <row r="84" spans="1:13" s="6" customFormat="1" x14ac:dyDescent="0.25">
      <c r="A84" s="12" t="s">
        <v>103</v>
      </c>
      <c r="B84" s="13" t="s">
        <v>19</v>
      </c>
      <c r="C84" s="13" t="s">
        <v>101</v>
      </c>
      <c r="D84" s="13"/>
      <c r="E84" s="15">
        <v>0</v>
      </c>
      <c r="F84" s="14">
        <v>0.59999999999999432</v>
      </c>
      <c r="G84" s="17">
        <v>163.60000000000002</v>
      </c>
      <c r="H84" s="15">
        <v>0</v>
      </c>
      <c r="I84" s="17">
        <v>5.8</v>
      </c>
      <c r="J84" s="15">
        <v>0</v>
      </c>
      <c r="K84" s="17">
        <v>11.850000000000001</v>
      </c>
      <c r="L84" s="16">
        <f t="shared" si="8"/>
        <v>181.85000000000002</v>
      </c>
      <c r="M84" s="17">
        <v>270.16999999999996</v>
      </c>
    </row>
    <row r="85" spans="1:13" s="6" customFormat="1" x14ac:dyDescent="0.25">
      <c r="A85" s="12" t="s">
        <v>104</v>
      </c>
      <c r="B85" s="13" t="s">
        <v>19</v>
      </c>
      <c r="C85" s="13"/>
      <c r="D85" s="13" t="s">
        <v>105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6">
        <f t="shared" si="8"/>
        <v>0</v>
      </c>
      <c r="M85" s="14">
        <v>112.07999999999998</v>
      </c>
    </row>
    <row r="86" spans="1:13" s="6" customFormat="1" x14ac:dyDescent="0.25">
      <c r="A86" s="12" t="s">
        <v>106</v>
      </c>
      <c r="B86" s="13" t="s">
        <v>19</v>
      </c>
      <c r="C86" s="13"/>
      <c r="D86" s="13" t="s">
        <v>85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6">
        <f t="shared" si="8"/>
        <v>0</v>
      </c>
      <c r="M86" s="14">
        <v>21.08</v>
      </c>
    </row>
    <row r="87" spans="1:13" s="6" customFormat="1" x14ac:dyDescent="0.25">
      <c r="A87" s="12" t="s">
        <v>107</v>
      </c>
      <c r="B87" s="13" t="s">
        <v>19</v>
      </c>
      <c r="C87" s="13"/>
      <c r="D87" s="13"/>
      <c r="E87" s="17">
        <v>166.4</v>
      </c>
      <c r="F87" s="17">
        <v>107.23</v>
      </c>
      <c r="G87" s="17">
        <v>56.699999999999996</v>
      </c>
      <c r="H87" s="17">
        <v>83.990000000000009</v>
      </c>
      <c r="I87" s="17">
        <v>31.779999999999998</v>
      </c>
      <c r="J87" s="15">
        <v>0</v>
      </c>
      <c r="K87" s="14">
        <v>17.899999999999999</v>
      </c>
      <c r="L87" s="16">
        <f t="shared" si="8"/>
        <v>463.99999999999994</v>
      </c>
      <c r="M87" s="14">
        <v>25.5</v>
      </c>
    </row>
    <row r="88" spans="1:13" s="6" customFormat="1" x14ac:dyDescent="0.25">
      <c r="A88" s="12" t="s">
        <v>108</v>
      </c>
      <c r="B88" s="13" t="s">
        <v>19</v>
      </c>
      <c r="C88" s="13"/>
      <c r="D88" s="13"/>
      <c r="E88" s="15">
        <v>0</v>
      </c>
      <c r="F88" s="14">
        <v>76.25</v>
      </c>
      <c r="G88" s="14">
        <v>2163.9</v>
      </c>
      <c r="H88" s="15">
        <v>0</v>
      </c>
      <c r="I88" s="17">
        <v>5.8</v>
      </c>
      <c r="J88" s="15">
        <v>0</v>
      </c>
      <c r="K88" s="14">
        <v>17.830000000000002</v>
      </c>
      <c r="L88" s="16">
        <f t="shared" si="8"/>
        <v>2263.7800000000002</v>
      </c>
      <c r="M88" s="14">
        <v>975.19999999999993</v>
      </c>
    </row>
    <row r="89" spans="1:13" s="6" customFormat="1" x14ac:dyDescent="0.25">
      <c r="A89" s="12" t="s">
        <v>109</v>
      </c>
      <c r="B89" s="13" t="s">
        <v>19</v>
      </c>
      <c r="C89" s="13"/>
      <c r="D89" s="13"/>
      <c r="E89" s="14">
        <v>161.42000000000002</v>
      </c>
      <c r="F89" s="14">
        <v>1355.9799999999998</v>
      </c>
      <c r="G89" s="14">
        <v>589.06000000000006</v>
      </c>
      <c r="H89" s="14">
        <v>230.68</v>
      </c>
      <c r="I89" s="14">
        <v>319.2999999999999</v>
      </c>
      <c r="J89" s="15">
        <v>0</v>
      </c>
      <c r="K89" s="14">
        <v>11.600000000000001</v>
      </c>
      <c r="L89" s="16">
        <f t="shared" si="8"/>
        <v>2668.0399999999995</v>
      </c>
      <c r="M89" s="14">
        <v>2486.2099999999996</v>
      </c>
    </row>
    <row r="90" spans="1:13" s="6" customFormat="1" x14ac:dyDescent="0.25">
      <c r="A90" s="23" t="s">
        <v>35</v>
      </c>
      <c r="B90" s="23"/>
      <c r="C90" s="23"/>
      <c r="D90" s="23"/>
      <c r="E90" s="24">
        <f>SUM(E81:E89)</f>
        <v>327.82000000000005</v>
      </c>
      <c r="F90" s="24">
        <f t="shared" ref="F90:M90" si="9">SUM(F81:F89)</f>
        <v>1648.8199999999997</v>
      </c>
      <c r="G90" s="24">
        <f t="shared" si="9"/>
        <v>3266.36</v>
      </c>
      <c r="H90" s="24">
        <f t="shared" si="9"/>
        <v>314.67</v>
      </c>
      <c r="I90" s="24">
        <f t="shared" si="9"/>
        <v>374.27999999999986</v>
      </c>
      <c r="J90" s="24">
        <f t="shared" si="9"/>
        <v>0</v>
      </c>
      <c r="K90" s="24">
        <f t="shared" si="9"/>
        <v>82.580000000000013</v>
      </c>
      <c r="L90" s="24">
        <f t="shared" si="9"/>
        <v>6014.53</v>
      </c>
      <c r="M90" s="24">
        <f t="shared" si="9"/>
        <v>7691.5399999999991</v>
      </c>
    </row>
    <row r="94" spans="1:13" s="6" customFormat="1" x14ac:dyDescent="0.25">
      <c r="A94" s="25" t="s">
        <v>110</v>
      </c>
      <c r="B94"/>
      <c r="C94"/>
      <c r="D94"/>
      <c r="E94" s="26"/>
      <c r="F94" s="26"/>
      <c r="G94" s="26"/>
      <c r="H94" s="26"/>
      <c r="I94" s="26"/>
      <c r="J94" s="27"/>
      <c r="K94" s="27"/>
      <c r="L94" s="27"/>
    </row>
    <row r="96" spans="1:13" s="6" customFormat="1" x14ac:dyDescent="0.25">
      <c r="A96" s="7" t="s">
        <v>1</v>
      </c>
      <c r="B96" s="8" t="s">
        <v>2</v>
      </c>
      <c r="C96" s="9" t="s">
        <v>3</v>
      </c>
      <c r="D96" s="9" t="s">
        <v>4</v>
      </c>
      <c r="E96" s="10" t="s">
        <v>5</v>
      </c>
      <c r="F96" s="10" t="s">
        <v>6</v>
      </c>
      <c r="G96" s="10" t="s">
        <v>7</v>
      </c>
      <c r="H96" s="10" t="s">
        <v>8</v>
      </c>
      <c r="I96" s="10" t="s">
        <v>9</v>
      </c>
      <c r="J96" s="10" t="s">
        <v>10</v>
      </c>
      <c r="K96" s="10" t="s">
        <v>11</v>
      </c>
      <c r="L96" s="10" t="s">
        <v>12</v>
      </c>
      <c r="M96" s="9" t="s">
        <v>13</v>
      </c>
    </row>
    <row r="97" spans="1:13" s="6" customFormat="1" x14ac:dyDescent="0.25">
      <c r="A97" s="11"/>
      <c r="B97" s="11"/>
      <c r="C97" s="41" t="s">
        <v>14</v>
      </c>
      <c r="D97" s="42"/>
      <c r="E97" s="10" t="s">
        <v>15</v>
      </c>
      <c r="F97" s="10" t="s">
        <v>15</v>
      </c>
      <c r="G97" s="10" t="s">
        <v>15</v>
      </c>
      <c r="H97" s="10" t="s">
        <v>15</v>
      </c>
      <c r="I97" s="10" t="s">
        <v>15</v>
      </c>
      <c r="J97" s="10" t="s">
        <v>15</v>
      </c>
      <c r="K97" s="10" t="s">
        <v>15</v>
      </c>
      <c r="L97" s="10" t="s">
        <v>15</v>
      </c>
      <c r="M97" s="9" t="s">
        <v>15</v>
      </c>
    </row>
    <row r="98" spans="1:13" s="6" customFormat="1" x14ac:dyDescent="0.25">
      <c r="A98" s="12" t="s">
        <v>111</v>
      </c>
      <c r="B98" s="13" t="s">
        <v>17</v>
      </c>
      <c r="C98" s="13" t="s">
        <v>112</v>
      </c>
      <c r="D98" s="13"/>
      <c r="E98" s="14">
        <v>543.64</v>
      </c>
      <c r="F98" s="14">
        <v>187.45</v>
      </c>
      <c r="G98" s="15">
        <v>0</v>
      </c>
      <c r="H98" s="15">
        <v>0</v>
      </c>
      <c r="I98" s="17">
        <v>40.06</v>
      </c>
      <c r="J98" s="15">
        <v>0</v>
      </c>
      <c r="K98" s="15">
        <v>0</v>
      </c>
      <c r="L98" s="16">
        <f>SUM(E98:K98)</f>
        <v>771.14999999999986</v>
      </c>
      <c r="M98" s="14">
        <v>383.80999999999995</v>
      </c>
    </row>
    <row r="99" spans="1:13" s="6" customFormat="1" x14ac:dyDescent="0.25">
      <c r="A99" s="12" t="s">
        <v>113</v>
      </c>
      <c r="B99" s="13" t="s">
        <v>19</v>
      </c>
      <c r="C99" s="13"/>
      <c r="D99" s="13" t="s">
        <v>114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6">
        <f>SUM(E99:K99)</f>
        <v>0</v>
      </c>
      <c r="M99" s="14">
        <v>215.24</v>
      </c>
    </row>
    <row r="100" spans="1:13" s="6" customFormat="1" x14ac:dyDescent="0.25">
      <c r="A100" s="18" t="s">
        <v>115</v>
      </c>
      <c r="B100" s="19" t="s">
        <v>19</v>
      </c>
      <c r="C100" s="19"/>
      <c r="D100" s="19"/>
      <c r="E100" s="20">
        <v>241.61999999999998</v>
      </c>
      <c r="F100" s="20">
        <v>845.63000000000011</v>
      </c>
      <c r="G100" s="20">
        <v>253.49999999999997</v>
      </c>
      <c r="H100" s="20">
        <v>1485</v>
      </c>
      <c r="I100" s="20">
        <v>174.52</v>
      </c>
      <c r="J100" s="15">
        <v>0</v>
      </c>
      <c r="K100" s="20">
        <v>5.74</v>
      </c>
      <c r="L100" s="22">
        <f>SUM(E100:K100)</f>
        <v>3006.0099999999998</v>
      </c>
      <c r="M100" s="20">
        <v>1837.51</v>
      </c>
    </row>
    <row r="101" spans="1:13" s="6" customFormat="1" x14ac:dyDescent="0.25">
      <c r="A101" s="18" t="s">
        <v>116</v>
      </c>
      <c r="B101" s="19" t="s">
        <v>19</v>
      </c>
      <c r="C101" s="19"/>
      <c r="D101" s="19"/>
      <c r="E101" s="20">
        <v>47.25</v>
      </c>
      <c r="F101" s="15">
        <v>0</v>
      </c>
      <c r="G101" s="21">
        <v>63.599999999999994</v>
      </c>
      <c r="H101" s="20">
        <v>330.75</v>
      </c>
      <c r="I101" s="21">
        <v>36.450000000000003</v>
      </c>
      <c r="J101" s="15">
        <v>0</v>
      </c>
      <c r="K101" s="20">
        <v>5.74</v>
      </c>
      <c r="L101" s="22">
        <f>SUM(E101:K101)</f>
        <v>483.79</v>
      </c>
      <c r="M101" s="20">
        <v>747.68999999999994</v>
      </c>
    </row>
    <row r="102" spans="1:13" s="6" customFormat="1" x14ac:dyDescent="0.25">
      <c r="A102" s="12" t="s">
        <v>117</v>
      </c>
      <c r="B102" s="13" t="s">
        <v>19</v>
      </c>
      <c r="C102" s="13" t="s">
        <v>118</v>
      </c>
      <c r="D102" s="13"/>
      <c r="E102" s="14">
        <v>199.2</v>
      </c>
      <c r="F102" s="15">
        <v>0</v>
      </c>
      <c r="G102" s="15">
        <v>0</v>
      </c>
      <c r="H102" s="14">
        <v>509.99000000000007</v>
      </c>
      <c r="I102" s="14">
        <v>49.089999999999996</v>
      </c>
      <c r="J102" s="15">
        <v>0</v>
      </c>
      <c r="K102" s="15">
        <v>0</v>
      </c>
      <c r="L102" s="16">
        <f t="shared" ref="L102:L104" si="10">SUM(E102:K102)</f>
        <v>758.28000000000009</v>
      </c>
      <c r="M102" s="17">
        <v>713.82999999999993</v>
      </c>
    </row>
    <row r="103" spans="1:13" s="6" customFormat="1" x14ac:dyDescent="0.25">
      <c r="A103" s="12" t="s">
        <v>119</v>
      </c>
      <c r="B103" s="13" t="s">
        <v>19</v>
      </c>
      <c r="C103" s="13" t="s">
        <v>118</v>
      </c>
      <c r="D103" s="13"/>
      <c r="E103" s="14">
        <v>47.25</v>
      </c>
      <c r="F103" s="15">
        <v>0</v>
      </c>
      <c r="G103" s="14">
        <v>69.8</v>
      </c>
      <c r="H103" s="14">
        <v>219.88999999999996</v>
      </c>
      <c r="I103" s="14">
        <v>29.479999999999997</v>
      </c>
      <c r="J103" s="15">
        <v>0</v>
      </c>
      <c r="K103" s="14">
        <v>5.74</v>
      </c>
      <c r="L103" s="16">
        <f t="shared" si="10"/>
        <v>372.15999999999997</v>
      </c>
      <c r="M103" s="17">
        <v>522.65</v>
      </c>
    </row>
    <row r="104" spans="1:13" s="6" customFormat="1" x14ac:dyDescent="0.25">
      <c r="A104" s="18" t="s">
        <v>120</v>
      </c>
      <c r="B104" s="19" t="s">
        <v>19</v>
      </c>
      <c r="C104" s="19"/>
      <c r="D104" s="19"/>
      <c r="E104" s="21">
        <v>61.79</v>
      </c>
      <c r="F104" s="15">
        <v>0</v>
      </c>
      <c r="G104" s="15">
        <v>0</v>
      </c>
      <c r="H104" s="20">
        <v>569.74999999999989</v>
      </c>
      <c r="I104" s="15">
        <v>0</v>
      </c>
      <c r="J104" s="15">
        <v>0</v>
      </c>
      <c r="K104" s="20">
        <v>5.74</v>
      </c>
      <c r="L104" s="22">
        <f t="shared" si="10"/>
        <v>637.27999999999986</v>
      </c>
      <c r="M104" s="20">
        <v>784.9</v>
      </c>
    </row>
    <row r="105" spans="1:13" s="6" customFormat="1" x14ac:dyDescent="0.25">
      <c r="A105" s="23" t="s">
        <v>35</v>
      </c>
      <c r="B105" s="23"/>
      <c r="C105" s="23"/>
      <c r="D105" s="23"/>
      <c r="E105" s="24">
        <f>SUM(E98:E104)</f>
        <v>1140.75</v>
      </c>
      <c r="F105" s="24">
        <f t="shared" ref="F105:M105" si="11">SUM(F98:F104)</f>
        <v>1033.0800000000002</v>
      </c>
      <c r="G105" s="24">
        <f t="shared" si="11"/>
        <v>386.9</v>
      </c>
      <c r="H105" s="24">
        <f t="shared" si="11"/>
        <v>3115.38</v>
      </c>
      <c r="I105" s="24">
        <f t="shared" si="11"/>
        <v>329.6</v>
      </c>
      <c r="J105" s="24">
        <f t="shared" si="11"/>
        <v>0</v>
      </c>
      <c r="K105" s="24">
        <f t="shared" si="11"/>
        <v>22.96</v>
      </c>
      <c r="L105" s="24">
        <f t="shared" si="11"/>
        <v>6028.6699999999992</v>
      </c>
      <c r="M105" s="24">
        <f t="shared" si="11"/>
        <v>5205.6299999999992</v>
      </c>
    </row>
    <row r="106" spans="1:13" s="6" customFormat="1" x14ac:dyDescent="0.25">
      <c r="A106"/>
      <c r="B106"/>
      <c r="C106"/>
      <c r="D106"/>
      <c r="E106" s="26"/>
      <c r="F106" s="26"/>
      <c r="G106" s="26"/>
      <c r="H106" s="26"/>
      <c r="I106" s="26"/>
      <c r="J106" s="27"/>
      <c r="K106" s="27"/>
      <c r="L106" s="27"/>
      <c r="M106" s="27"/>
    </row>
    <row r="108" spans="1:13" s="6" customFormat="1" x14ac:dyDescent="0.25">
      <c r="A108"/>
      <c r="B108"/>
      <c r="C108"/>
      <c r="D108"/>
      <c r="E108" s="26"/>
      <c r="F108" s="26"/>
      <c r="G108" s="26"/>
      <c r="H108" s="26"/>
      <c r="I108" s="26"/>
      <c r="J108" s="27"/>
      <c r="K108" s="27"/>
      <c r="L108" s="27">
        <f>SUM(L17+L22+M42+L58+L73+L90+L105)</f>
        <v>108563.04</v>
      </c>
      <c r="M108" s="27">
        <f>SUM(M17+M22+N42+M58+M73+M90+M105)</f>
        <v>110419.37999999999</v>
      </c>
    </row>
    <row r="109" spans="1:13" s="6" customFormat="1" x14ac:dyDescent="0.25">
      <c r="A109"/>
      <c r="B109"/>
      <c r="C109"/>
      <c r="D109"/>
      <c r="E109" s="26"/>
      <c r="F109" s="26"/>
      <c r="G109" s="26"/>
      <c r="H109" s="26"/>
      <c r="I109" s="26"/>
      <c r="J109" s="27"/>
      <c r="K109" s="27"/>
      <c r="L109" s="27"/>
      <c r="M109" s="40">
        <f>(L108-M108)/M108</f>
        <v>-1.6811722724760787E-2</v>
      </c>
    </row>
    <row r="112" spans="1:13" s="6" customFormat="1" x14ac:dyDescent="0.25">
      <c r="A112"/>
      <c r="B112"/>
      <c r="C112"/>
      <c r="D112"/>
      <c r="E112"/>
      <c r="F112"/>
      <c r="G112" s="26"/>
      <c r="H112" s="26"/>
      <c r="I112" s="26"/>
      <c r="J112" s="26"/>
      <c r="K112"/>
      <c r="L112" s="26"/>
    </row>
    <row r="114" spans="1:12" s="6" customFormat="1" x14ac:dyDescent="0.25">
      <c r="A114"/>
      <c r="B114"/>
      <c r="C114"/>
      <c r="D114"/>
      <c r="E114"/>
      <c r="F114"/>
      <c r="G114" s="26"/>
      <c r="H114" s="26"/>
      <c r="I114" s="26"/>
      <c r="J114" s="26"/>
      <c r="K114"/>
      <c r="L114" s="26"/>
    </row>
    <row r="116" spans="1:12" s="6" customFormat="1" x14ac:dyDescent="0.25">
      <c r="A116"/>
      <c r="B116"/>
      <c r="C116"/>
      <c r="D116"/>
      <c r="E116"/>
      <c r="F116"/>
      <c r="G116" s="26"/>
      <c r="H116" s="26"/>
      <c r="I116" s="26"/>
      <c r="J116" s="26"/>
      <c r="K116"/>
      <c r="L116" s="26"/>
    </row>
    <row r="117" spans="1:12" s="6" customFormat="1" x14ac:dyDescent="0.25">
      <c r="A117"/>
      <c r="B117"/>
      <c r="C117"/>
      <c r="D117"/>
      <c r="E117"/>
      <c r="F117"/>
      <c r="G117" s="26"/>
      <c r="H117" s="26"/>
      <c r="I117" s="26"/>
      <c r="J117" s="26"/>
      <c r="K117"/>
      <c r="L117" s="26"/>
    </row>
    <row r="119" spans="1:12" s="6" customFormat="1" x14ac:dyDescent="0.25">
      <c r="A119"/>
      <c r="B119"/>
      <c r="C119"/>
      <c r="D119"/>
      <c r="E119"/>
      <c r="F119"/>
      <c r="G119" s="26"/>
      <c r="H119" s="26"/>
      <c r="I119" s="26"/>
      <c r="J119" s="26"/>
      <c r="K119"/>
      <c r="L119" s="26"/>
    </row>
    <row r="120" spans="1:12" s="6" customFormat="1" x14ac:dyDescent="0.25">
      <c r="A120"/>
      <c r="B120"/>
      <c r="C120"/>
      <c r="D120"/>
      <c r="E120"/>
      <c r="F120"/>
      <c r="G120" s="26"/>
      <c r="H120" s="26"/>
      <c r="I120" s="26"/>
      <c r="J120" s="26"/>
      <c r="K120"/>
      <c r="L120" s="26"/>
    </row>
    <row r="121" spans="1:12" s="6" customFormat="1" x14ac:dyDescent="0.25">
      <c r="A121"/>
      <c r="B121"/>
      <c r="C121"/>
      <c r="D121"/>
      <c r="E121"/>
      <c r="F121"/>
      <c r="G121" s="26"/>
      <c r="H121" s="26"/>
      <c r="I121" s="26"/>
      <c r="J121" s="26"/>
      <c r="K121"/>
      <c r="L121" s="26"/>
    </row>
    <row r="130" spans="1:12" s="6" customFormat="1" x14ac:dyDescent="0.25">
      <c r="A130"/>
      <c r="B130"/>
      <c r="C130"/>
      <c r="D130"/>
      <c r="E130"/>
      <c r="F130"/>
      <c r="G130"/>
      <c r="H130" s="26"/>
      <c r="I130" s="26"/>
      <c r="J130" s="26"/>
      <c r="K130" s="26"/>
      <c r="L130" s="26"/>
    </row>
    <row r="132" spans="1:12" s="6" customFormat="1" x14ac:dyDescent="0.25">
      <c r="A132"/>
      <c r="B132"/>
      <c r="C132"/>
      <c r="D132"/>
      <c r="E132" s="26"/>
      <c r="F132" s="27"/>
      <c r="G132" s="26"/>
      <c r="H132" s="26"/>
      <c r="I132" s="26"/>
      <c r="J132" s="27"/>
      <c r="K132" s="27"/>
      <c r="L132" s="27"/>
    </row>
    <row r="141" spans="1:12" s="6" customFormat="1" x14ac:dyDescent="0.25">
      <c r="A141"/>
      <c r="B141"/>
      <c r="C141"/>
      <c r="D141"/>
      <c r="E141"/>
      <c r="F141"/>
      <c r="G141"/>
      <c r="H141" s="26"/>
      <c r="I141" s="26"/>
      <c r="J141" s="26"/>
      <c r="K141" s="26"/>
      <c r="L141" s="26"/>
    </row>
    <row r="166" spans="1:15" s="26" customFormat="1" x14ac:dyDescent="0.25">
      <c r="A166"/>
      <c r="B166"/>
      <c r="C166"/>
      <c r="H166"/>
      <c r="J166" s="27"/>
      <c r="K166" s="27"/>
      <c r="L166" s="27"/>
      <c r="M166" s="6"/>
      <c r="N166" s="6"/>
      <c r="O166" s="6"/>
    </row>
  </sheetData>
  <mergeCells count="6">
    <mergeCell ref="C97:D97"/>
    <mergeCell ref="C4:D4"/>
    <mergeCell ref="D29:E29"/>
    <mergeCell ref="C49:D49"/>
    <mergeCell ref="C65:D65"/>
    <mergeCell ref="C80:D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Bellamy, Julie</dc:creator>
  <cp:lastModifiedBy>Hogg, Nicolas</cp:lastModifiedBy>
  <dcterms:created xsi:type="dcterms:W3CDTF">2017-08-10T10:57:35Z</dcterms:created>
  <dcterms:modified xsi:type="dcterms:W3CDTF">2017-08-11T10:10:17Z</dcterms:modified>
</cp:coreProperties>
</file>